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4" activeTab="24"/>
  </bookViews>
  <sheets>
    <sheet name="КЗШ14" sheetId="1" r:id="rId1"/>
    <sheet name="КЗШ17" sheetId="2" r:id="rId2"/>
    <sheet name="КЗШ19" sheetId="3" r:id="rId3"/>
    <sheet name="КЗШ21" sheetId="4" r:id="rId4"/>
    <sheet name="КЗШ31" sheetId="5" r:id="rId5"/>
    <sheet name="КНВК35" sheetId="6" r:id="rId6"/>
    <sheet name="КЗШ41" sheetId="7" r:id="rId7"/>
    <sheet name="КЗШ43" sheetId="8" r:id="rId8"/>
    <sheet name="КЗШ51" sheetId="9" r:id="rId9"/>
    <sheet name="КЗШ 58" sheetId="10" r:id="rId10"/>
    <sheet name="КЗШ68" sheetId="11" r:id="rId11"/>
    <sheet name="КСШ70" sheetId="12" r:id="rId12"/>
    <sheet name="КЗШ72" sheetId="13" r:id="rId13"/>
    <sheet name="КСШ74" sheetId="14" r:id="rId14"/>
    <sheet name="Гим91" sheetId="15" r:id="rId15"/>
    <sheet name="КСШ107" sheetId="16" r:id="rId16"/>
    <sheet name="КЗШ113" sheetId="17" r:id="rId17"/>
    <sheet name="КСШ118" sheetId="18" r:id="rId18"/>
    <sheet name="КЗШ119" sheetId="19" r:id="rId19"/>
    <sheet name="КЗШ120" sheetId="20" r:id="rId20"/>
    <sheet name="КЗШ122" sheetId="21" r:id="rId21"/>
    <sheet name="КЗШ124" sheetId="22" r:id="rId22"/>
    <sheet name="НВК-240" sheetId="23" r:id="rId23"/>
    <sheet name="НВК-278" sheetId="24" r:id="rId24"/>
    <sheet name="КПНЛ" sheetId="25" r:id="rId25"/>
    <sheet name="Д-8" sheetId="26" r:id="rId26"/>
    <sheet name="Д-10" sheetId="27" r:id="rId27"/>
  </sheets>
  <calcPr calcId="124519"/>
</workbook>
</file>

<file path=xl/calcChain.xml><?xml version="1.0" encoding="utf-8"?>
<calcChain xmlns="http://schemas.openxmlformats.org/spreadsheetml/2006/main">
  <c r="AP5" i="27"/>
  <c r="AN5"/>
  <c r="AL5"/>
  <c r="AJ5"/>
  <c r="AH5"/>
  <c r="AF5"/>
  <c r="AD5"/>
  <c r="AB5"/>
  <c r="Z5"/>
  <c r="X5"/>
  <c r="V5"/>
  <c r="T5"/>
  <c r="R5"/>
  <c r="P5"/>
  <c r="N5"/>
  <c r="L5"/>
  <c r="J5"/>
  <c r="H5"/>
  <c r="F5"/>
  <c r="D5"/>
  <c r="AQ5" s="1"/>
  <c r="J3" i="26"/>
  <c r="H3"/>
  <c r="AP4"/>
  <c r="AN4"/>
  <c r="AL4"/>
  <c r="AJ4"/>
  <c r="AH4"/>
  <c r="AF4"/>
  <c r="AD4"/>
  <c r="AB4"/>
  <c r="Z4"/>
  <c r="X4"/>
  <c r="V4"/>
  <c r="T4"/>
  <c r="R4"/>
  <c r="J4"/>
  <c r="H4"/>
  <c r="F4"/>
  <c r="D4"/>
  <c r="P4"/>
  <c r="N4"/>
  <c r="L4"/>
  <c r="P4" i="25"/>
  <c r="L4"/>
  <c r="N4"/>
  <c r="AP5"/>
  <c r="AN5"/>
  <c r="AL5"/>
  <c r="AJ5"/>
  <c r="AH5"/>
  <c r="AF5"/>
  <c r="AD5"/>
  <c r="AB5"/>
  <c r="Z5"/>
  <c r="X5"/>
  <c r="V5"/>
  <c r="T5"/>
  <c r="R5"/>
  <c r="N5"/>
  <c r="L5"/>
  <c r="F5"/>
  <c r="D5"/>
  <c r="P5"/>
  <c r="J5"/>
  <c r="H5"/>
  <c r="AQ5" i="24"/>
  <c r="P4"/>
  <c r="H4"/>
  <c r="J4"/>
  <c r="AP5"/>
  <c r="AN5"/>
  <c r="AL5"/>
  <c r="AJ5"/>
  <c r="AH5"/>
  <c r="AF5"/>
  <c r="AD5"/>
  <c r="AB5"/>
  <c r="Z5"/>
  <c r="T5"/>
  <c r="R5"/>
  <c r="L5"/>
  <c r="D5"/>
  <c r="X5"/>
  <c r="V5"/>
  <c r="P5"/>
  <c r="N5"/>
  <c r="J5"/>
  <c r="H5"/>
  <c r="F5"/>
  <c r="N4" i="23"/>
  <c r="J4"/>
  <c r="V4"/>
  <c r="H4"/>
  <c r="F4"/>
  <c r="P4"/>
  <c r="X4"/>
  <c r="AP5"/>
  <c r="AN5"/>
  <c r="AJ5"/>
  <c r="AH5"/>
  <c r="AF5"/>
  <c r="AD5"/>
  <c r="AB5"/>
  <c r="Z5"/>
  <c r="X5"/>
  <c r="V5"/>
  <c r="T5"/>
  <c r="R5"/>
  <c r="P5"/>
  <c r="L5"/>
  <c r="J5"/>
  <c r="H5"/>
  <c r="F5"/>
  <c r="D5"/>
  <c r="AL5"/>
  <c r="N5"/>
  <c r="AL4" i="22"/>
  <c r="N4"/>
  <c r="AP5"/>
  <c r="AL5"/>
  <c r="AJ5"/>
  <c r="AH5"/>
  <c r="AF5"/>
  <c r="AD5"/>
  <c r="AB5"/>
  <c r="X5"/>
  <c r="V5"/>
  <c r="R5"/>
  <c r="F5"/>
  <c r="D5"/>
  <c r="AN5"/>
  <c r="Z5"/>
  <c r="T5"/>
  <c r="P5"/>
  <c r="N5"/>
  <c r="L5"/>
  <c r="J5"/>
  <c r="H5"/>
  <c r="T4" i="21"/>
  <c r="L4"/>
  <c r="H4"/>
  <c r="P4"/>
  <c r="J4"/>
  <c r="N4"/>
  <c r="Z4"/>
  <c r="AN4"/>
  <c r="AP5"/>
  <c r="AN5"/>
  <c r="AL5"/>
  <c r="AJ5"/>
  <c r="AH5"/>
  <c r="AF5"/>
  <c r="AD5"/>
  <c r="AB5"/>
  <c r="Z5"/>
  <c r="X5"/>
  <c r="V5"/>
  <c r="T5"/>
  <c r="R5"/>
  <c r="P5"/>
  <c r="N5"/>
  <c r="L5"/>
  <c r="AQ5" s="1"/>
  <c r="J5"/>
  <c r="H5"/>
  <c r="F5"/>
  <c r="D5"/>
  <c r="AP5" i="20"/>
  <c r="AN5"/>
  <c r="AL5"/>
  <c r="AJ5"/>
  <c r="AH5"/>
  <c r="AF5"/>
  <c r="AD5"/>
  <c r="AB5"/>
  <c r="Z5"/>
  <c r="X5"/>
  <c r="V5"/>
  <c r="T5"/>
  <c r="R5"/>
  <c r="P5"/>
  <c r="L5"/>
  <c r="F5"/>
  <c r="D5"/>
  <c r="N5"/>
  <c r="J5"/>
  <c r="H5"/>
  <c r="H4" i="19"/>
  <c r="J4"/>
  <c r="N4"/>
  <c r="AP5"/>
  <c r="AN5"/>
  <c r="AL5"/>
  <c r="AJ5"/>
  <c r="AH5"/>
  <c r="AF5"/>
  <c r="AD5"/>
  <c r="AB5"/>
  <c r="Z5"/>
  <c r="X5"/>
  <c r="V5"/>
  <c r="T5"/>
  <c r="R5"/>
  <c r="P5"/>
  <c r="N5"/>
  <c r="L5"/>
  <c r="J5"/>
  <c r="H5"/>
  <c r="F5"/>
  <c r="D5"/>
  <c r="AQ5" s="1"/>
  <c r="J4" i="18"/>
  <c r="T4"/>
  <c r="F4"/>
  <c r="N4"/>
  <c r="P4"/>
  <c r="AP5"/>
  <c r="AN5"/>
  <c r="AJ5"/>
  <c r="AH5"/>
  <c r="AF5"/>
  <c r="AD5"/>
  <c r="AB5"/>
  <c r="Z5"/>
  <c r="X5"/>
  <c r="V5"/>
  <c r="T5"/>
  <c r="R5"/>
  <c r="P5"/>
  <c r="N5"/>
  <c r="L5"/>
  <c r="J5"/>
  <c r="H5"/>
  <c r="F5"/>
  <c r="D5"/>
  <c r="AL5"/>
  <c r="AL4" i="17"/>
  <c r="AP5"/>
  <c r="AN5"/>
  <c r="AL5"/>
  <c r="AJ5"/>
  <c r="AH5"/>
  <c r="AF5"/>
  <c r="AD5"/>
  <c r="AB5"/>
  <c r="Z5"/>
  <c r="X5"/>
  <c r="V5"/>
  <c r="T5"/>
  <c r="R5"/>
  <c r="P5"/>
  <c r="N5"/>
  <c r="L5"/>
  <c r="J5"/>
  <c r="H5"/>
  <c r="F5"/>
  <c r="D5"/>
  <c r="AQ5" s="1"/>
  <c r="T5" i="16"/>
  <c r="AP5"/>
  <c r="AN5"/>
  <c r="AL5"/>
  <c r="AJ5"/>
  <c r="AH5"/>
  <c r="AF5"/>
  <c r="AD5"/>
  <c r="AB5"/>
  <c r="Z5"/>
  <c r="X5"/>
  <c r="V5"/>
  <c r="R5"/>
  <c r="P5"/>
  <c r="L5"/>
  <c r="J5"/>
  <c r="H5"/>
  <c r="F5"/>
  <c r="D5"/>
  <c r="N5"/>
  <c r="N4" i="15"/>
  <c r="X5"/>
  <c r="AP5"/>
  <c r="AN5"/>
  <c r="AL5"/>
  <c r="AJ5"/>
  <c r="AH5"/>
  <c r="AF5"/>
  <c r="AD5"/>
  <c r="Z5"/>
  <c r="V5"/>
  <c r="R5"/>
  <c r="P5"/>
  <c r="F5"/>
  <c r="D5"/>
  <c r="AB5"/>
  <c r="N5"/>
  <c r="L5"/>
  <c r="J5"/>
  <c r="H5"/>
  <c r="AB3" i="14"/>
  <c r="J3"/>
  <c r="L3"/>
  <c r="N3"/>
  <c r="H3"/>
  <c r="AP4"/>
  <c r="AL4"/>
  <c r="AH4"/>
  <c r="AF4"/>
  <c r="AB4"/>
  <c r="Z4"/>
  <c r="R4"/>
  <c r="F4"/>
  <c r="D4"/>
  <c r="AN4"/>
  <c r="AJ4"/>
  <c r="AD4"/>
  <c r="X4"/>
  <c r="V4"/>
  <c r="P4"/>
  <c r="N4"/>
  <c r="L4"/>
  <c r="J4"/>
  <c r="H4"/>
  <c r="AD4" i="13"/>
  <c r="R5"/>
  <c r="J4"/>
  <c r="L4"/>
  <c r="V4"/>
  <c r="AQ4" i="26" l="1"/>
  <c r="AQ5" i="25"/>
  <c r="AQ5" i="23"/>
  <c r="AQ5" i="22"/>
  <c r="AQ5" i="20"/>
  <c r="AQ5" i="18"/>
  <c r="AQ5" i="16"/>
  <c r="AQ5" i="15"/>
  <c r="AQ4" i="14"/>
  <c r="P4" i="13" l="1"/>
  <c r="AN4"/>
  <c r="H4"/>
  <c r="N4"/>
  <c r="AJ4"/>
  <c r="X4"/>
  <c r="AP5"/>
  <c r="AN5"/>
  <c r="AL5"/>
  <c r="AJ5"/>
  <c r="AH5"/>
  <c r="AF5"/>
  <c r="AD5"/>
  <c r="AB5"/>
  <c r="Z5"/>
  <c r="V5"/>
  <c r="P5"/>
  <c r="L5"/>
  <c r="J5"/>
  <c r="D5"/>
  <c r="X5"/>
  <c r="N5"/>
  <c r="H5"/>
  <c r="F5"/>
  <c r="N4" i="12"/>
  <c r="F4"/>
  <c r="H4"/>
  <c r="X4"/>
  <c r="AP5"/>
  <c r="AN5"/>
  <c r="AL5"/>
  <c r="AJ5"/>
  <c r="AH5"/>
  <c r="AF5"/>
  <c r="AD5"/>
  <c r="AB5"/>
  <c r="Z5"/>
  <c r="X5"/>
  <c r="P5"/>
  <c r="L5"/>
  <c r="J5"/>
  <c r="H5"/>
  <c r="F5"/>
  <c r="D5"/>
  <c r="V5"/>
  <c r="N5"/>
  <c r="V5" i="11"/>
  <c r="V4"/>
  <c r="N4"/>
  <c r="AP5"/>
  <c r="AN5"/>
  <c r="AL5"/>
  <c r="AJ5"/>
  <c r="AH5"/>
  <c r="AF5"/>
  <c r="AD5"/>
  <c r="AB5"/>
  <c r="Z5"/>
  <c r="L5"/>
  <c r="H5"/>
  <c r="F5"/>
  <c r="D5"/>
  <c r="X5"/>
  <c r="P5"/>
  <c r="N5"/>
  <c r="J5"/>
  <c r="P3" i="10"/>
  <c r="J3"/>
  <c r="N3"/>
  <c r="X3"/>
  <c r="AP4"/>
  <c r="AN4"/>
  <c r="AL4"/>
  <c r="AJ4"/>
  <c r="AH4"/>
  <c r="AF4"/>
  <c r="AD4"/>
  <c r="AB4"/>
  <c r="Z4"/>
  <c r="X4"/>
  <c r="P4"/>
  <c r="N4"/>
  <c r="L4"/>
  <c r="J4"/>
  <c r="D4"/>
  <c r="H4"/>
  <c r="F4"/>
  <c r="V5" i="8"/>
  <c r="AQ5" i="13" l="1"/>
  <c r="AQ5" i="12"/>
  <c r="AQ5" i="11"/>
  <c r="AQ4" i="10"/>
  <c r="AD4" i="8" l="1"/>
  <c r="J4"/>
  <c r="N4"/>
  <c r="P4"/>
  <c r="AP5" i="9"/>
  <c r="AN5"/>
  <c r="AL5"/>
  <c r="AJ5"/>
  <c r="AH5"/>
  <c r="AF5"/>
  <c r="AD5"/>
  <c r="AB5"/>
  <c r="Z5"/>
  <c r="X5"/>
  <c r="P5"/>
  <c r="N5"/>
  <c r="L5"/>
  <c r="J5"/>
  <c r="D5"/>
  <c r="H4"/>
  <c r="H5" s="1"/>
  <c r="F4"/>
  <c r="F5" s="1"/>
  <c r="AP5" i="8"/>
  <c r="AL5"/>
  <c r="AJ5"/>
  <c r="AH5"/>
  <c r="AF5"/>
  <c r="AB5"/>
  <c r="Z5"/>
  <c r="L5"/>
  <c r="D5"/>
  <c r="AN5"/>
  <c r="AD5"/>
  <c r="X5"/>
  <c r="P5"/>
  <c r="N5"/>
  <c r="J5"/>
  <c r="H5"/>
  <c r="F5"/>
  <c r="AN4" i="7"/>
  <c r="J4"/>
  <c r="H4"/>
  <c r="F4"/>
  <c r="AD4"/>
  <c r="N4"/>
  <c r="P4"/>
  <c r="X4"/>
  <c r="AP5"/>
  <c r="AN5"/>
  <c r="AJ5"/>
  <c r="AH5"/>
  <c r="AF5"/>
  <c r="Z5"/>
  <c r="F5"/>
  <c r="AL5"/>
  <c r="AD5"/>
  <c r="AB5"/>
  <c r="X5"/>
  <c r="P5"/>
  <c r="N5"/>
  <c r="L5"/>
  <c r="J5"/>
  <c r="H5"/>
  <c r="D5"/>
  <c r="AQ5" s="1"/>
  <c r="X4" i="6"/>
  <c r="X3"/>
  <c r="H4"/>
  <c r="AQ4"/>
  <c r="J3"/>
  <c r="D3"/>
  <c r="D4" s="1"/>
  <c r="N3"/>
  <c r="P3"/>
  <c r="AD3"/>
  <c r="AB3"/>
  <c r="H3"/>
  <c r="L3"/>
  <c r="AL3"/>
  <c r="AP4"/>
  <c r="AN4"/>
  <c r="AJ4"/>
  <c r="AH4"/>
  <c r="AF4"/>
  <c r="AB4"/>
  <c r="Z4"/>
  <c r="F4"/>
  <c r="AL4"/>
  <c r="AD4"/>
  <c r="P4"/>
  <c r="N4"/>
  <c r="L4"/>
  <c r="J4"/>
  <c r="N5" i="5"/>
  <c r="D5"/>
  <c r="N4"/>
  <c r="AB4"/>
  <c r="J4"/>
  <c r="H4"/>
  <c r="L4"/>
  <c r="AJ4"/>
  <c r="AN5"/>
  <c r="AL5"/>
  <c r="AJ5"/>
  <c r="AH5"/>
  <c r="AF5"/>
  <c r="AD5"/>
  <c r="AB5"/>
  <c r="Z5"/>
  <c r="X5"/>
  <c r="L5"/>
  <c r="J5"/>
  <c r="H5"/>
  <c r="AH5" i="4"/>
  <c r="AL5"/>
  <c r="AJ5"/>
  <c r="AF5"/>
  <c r="AD5"/>
  <c r="AB5"/>
  <c r="Z5"/>
  <c r="X5"/>
  <c r="V5"/>
  <c r="J5"/>
  <c r="H5"/>
  <c r="F5"/>
  <c r="D5"/>
  <c r="AM5" s="1"/>
  <c r="AQ5" i="9" l="1"/>
  <c r="AQ5" i="8"/>
  <c r="AO5" i="5"/>
  <c r="AL5" i="3"/>
  <c r="AJ5"/>
  <c r="AF5"/>
  <c r="AD5"/>
  <c r="AB5"/>
  <c r="Z5"/>
  <c r="X5"/>
  <c r="V5"/>
  <c r="F5"/>
  <c r="J5"/>
  <c r="H5"/>
  <c r="D5"/>
  <c r="AM5" s="1"/>
  <c r="J4" i="2"/>
  <c r="H4"/>
  <c r="D4"/>
  <c r="AL5" l="1"/>
  <c r="AJ5"/>
  <c r="AF5"/>
  <c r="AD5"/>
  <c r="AB5"/>
  <c r="Z5"/>
  <c r="V5"/>
  <c r="X5"/>
  <c r="J5"/>
  <c r="H5"/>
  <c r="F5"/>
  <c r="D5"/>
  <c r="AM5" s="1"/>
  <c r="AJ17" i="1"/>
  <c r="F16"/>
  <c r="X16"/>
  <c r="J16"/>
  <c r="H16"/>
  <c r="D16"/>
  <c r="AL17"/>
  <c r="AF17"/>
  <c r="AD17"/>
  <c r="AB17"/>
  <c r="Z17"/>
  <c r="X17"/>
  <c r="V17"/>
  <c r="J17"/>
  <c r="H17"/>
  <c r="F17"/>
  <c r="D17"/>
  <c r="AM17" s="1"/>
</calcChain>
</file>

<file path=xl/sharedStrings.xml><?xml version="1.0" encoding="utf-8"?>
<sst xmlns="http://schemas.openxmlformats.org/spreadsheetml/2006/main" count="1388" uniqueCount="205">
  <si>
    <t>Надходження матеріалів за рахунок благодийних внесків за 2017 рік</t>
  </si>
  <si>
    <t>№ з/п</t>
  </si>
  <si>
    <t>Назва закладу</t>
  </si>
  <si>
    <t xml:space="preserve">Техніка </t>
  </si>
  <si>
    <t>Сума</t>
  </si>
  <si>
    <t xml:space="preserve">Господарчі матеріали </t>
  </si>
  <si>
    <t>Будівельні матеріали</t>
  </si>
  <si>
    <t>Меблі</t>
  </si>
  <si>
    <t xml:space="preserve">Миючі засоби </t>
  </si>
  <si>
    <t xml:space="preserve">Посуд </t>
  </si>
  <si>
    <t>Іграшки</t>
  </si>
  <si>
    <t>М"який інвентар</t>
  </si>
  <si>
    <t>Дезинфікуюшіе</t>
  </si>
  <si>
    <t>Спорт інвентар</t>
  </si>
  <si>
    <t>Сантехніка</t>
  </si>
  <si>
    <t>Канцтовари</t>
  </si>
  <si>
    <t>Уличное обладнання</t>
  </si>
  <si>
    <t>мед.обладнання</t>
  </si>
  <si>
    <t>Література</t>
  </si>
  <si>
    <t>вікно металопластікове</t>
  </si>
  <si>
    <t xml:space="preserve">услуги </t>
  </si>
  <si>
    <t>Сума разом</t>
  </si>
  <si>
    <t>КЗШ №14</t>
  </si>
  <si>
    <t>ремонт принтера</t>
  </si>
  <si>
    <t>Всього:</t>
  </si>
  <si>
    <t>огородження (секції) б/у,стовби для огорожі б/у, решітки металеві б/у</t>
  </si>
  <si>
    <t>штамп закладу,печать</t>
  </si>
  <si>
    <t>шпалери,клей,фарба,оракал,крейда,шпак.,</t>
  </si>
  <si>
    <t>замок врізний,квач,шпатель,саморізи,світильники,люстра, скло б/у</t>
  </si>
  <si>
    <t>стіл учнівський б/у,підступ до дошки ,</t>
  </si>
  <si>
    <t xml:space="preserve"> мяч волейбольний, баскетбольний,сітка волейбольна</t>
  </si>
  <si>
    <t>лампа д/осв.двору,трос д/чистки канал.</t>
  </si>
  <si>
    <t>решетка мет. на вікно</t>
  </si>
  <si>
    <t>сіль технична</t>
  </si>
  <si>
    <t>КЗШ №17</t>
  </si>
  <si>
    <t>електроводонагрівач,телевізор</t>
  </si>
  <si>
    <t>лінолеум, клей,світильники</t>
  </si>
  <si>
    <t>доставка</t>
  </si>
  <si>
    <t>КЗШ № 19</t>
  </si>
  <si>
    <t>лампа бактеріцідна</t>
  </si>
  <si>
    <t>садові фігурки</t>
  </si>
  <si>
    <t>КЗШ № 21</t>
  </si>
  <si>
    <t>КЗШ № 31</t>
  </si>
  <si>
    <t>вікно металопластикове</t>
  </si>
  <si>
    <t>медикаменти</t>
  </si>
  <si>
    <t>дошка магнітна,стенд інформац.</t>
  </si>
  <si>
    <t>заправка катриджа</t>
  </si>
  <si>
    <t>дошка учнівська</t>
  </si>
  <si>
    <t>двп, шпатик,валік,рулетка,кісточка.цемент</t>
  </si>
  <si>
    <t xml:space="preserve"> мяч,фішки,пояса для регбі,</t>
  </si>
  <si>
    <t>шпингалет  шпульки,нитка капрон.резинка,гардина стрічка,ниткі білі,</t>
  </si>
  <si>
    <t xml:space="preserve"> зошит,бланки</t>
  </si>
  <si>
    <t>КНВК № 35</t>
  </si>
  <si>
    <t>жалюзі ,банер,микроскоп</t>
  </si>
  <si>
    <t>миючий засіб</t>
  </si>
  <si>
    <t>дезактин</t>
  </si>
  <si>
    <t>ноутбук,телевізор,принтер,акустична система, колонки муз.</t>
  </si>
  <si>
    <t>замок навісний,автомат ап-50,провід  ПВС,пакети д/сміття, губки кухонні,скло б/у,склопакети,</t>
  </si>
  <si>
    <t>жалюзі ,банер,</t>
  </si>
  <si>
    <t>шафа модульна ШМР -А-12, парти в каб.,стільці в каб.</t>
  </si>
  <si>
    <t xml:space="preserve">шланги д/умивальників,кран,трійник </t>
  </si>
  <si>
    <t>КЗШ№ 41</t>
  </si>
  <si>
    <t>дошка класна,магнітна</t>
  </si>
  <si>
    <t>компьютер. Запчасти заправка-вентилятор д/процесор,тонер д/принтера,для принтера печатна головка,тонер д/ картриджу, конектор д/інт.,комутатор</t>
  </si>
  <si>
    <t xml:space="preserve"> телевізор,ноутбук</t>
  </si>
  <si>
    <t>запчасти для компьютера</t>
  </si>
  <si>
    <t>КЗШ№ 51</t>
  </si>
  <si>
    <t xml:space="preserve">класна дошка </t>
  </si>
  <si>
    <t>бланідас</t>
  </si>
  <si>
    <t>ноутбук,принтер кольоровий,сумка для ноутбука,мишь монитор, системний блок</t>
  </si>
  <si>
    <t>КЗШ№ 43</t>
  </si>
  <si>
    <t>штамп</t>
  </si>
  <si>
    <t xml:space="preserve"> ксероксний папір,штамп</t>
  </si>
  <si>
    <t>полки книжні,подставка д/ журналів</t>
  </si>
  <si>
    <t xml:space="preserve">миючий засіб </t>
  </si>
  <si>
    <t>палас б/у</t>
  </si>
  <si>
    <t>ноутбук б/у, телевізор б/у</t>
  </si>
  <si>
    <t>пакети д/сміття ,підсветлення д/дошки</t>
  </si>
  <si>
    <t>КЗШ№ 58</t>
  </si>
  <si>
    <t>пакети д/сміття, економ лампи</t>
  </si>
  <si>
    <t>дошка ауд.,стіл,   стілець,  лавка шкільна,</t>
  </si>
  <si>
    <t>клапан д/бачка, шаровий кран</t>
  </si>
  <si>
    <t>КЗШ№ 68</t>
  </si>
  <si>
    <t xml:space="preserve">вікно металопластикове </t>
  </si>
  <si>
    <t>жалюзі</t>
  </si>
  <si>
    <t>принтер</t>
  </si>
  <si>
    <t>дошка класна, стенд</t>
  </si>
  <si>
    <t>тюль</t>
  </si>
  <si>
    <t xml:space="preserve">шафа кутова, шафа книжкова,стіл письмовий, стіл офісний </t>
  </si>
  <si>
    <t>КСШ№ 70</t>
  </si>
  <si>
    <t>художня література</t>
  </si>
  <si>
    <t>дошка класна,стенд</t>
  </si>
  <si>
    <t>шкаф, полка кижна, стіл комп., диван,  піаніно</t>
  </si>
  <si>
    <t>телевізор б/у,принтер</t>
  </si>
  <si>
    <t>КЗШ№ 72</t>
  </si>
  <si>
    <t>жалюзі вертикальні</t>
  </si>
  <si>
    <t>запаси д/компьютера-к-т ролик захвату торм.д/комп.,рамка захисна під вимикач,кабель 10м,шнур мереж.,провід,подовжувач,монитор</t>
  </si>
  <si>
    <t>миючи засіби</t>
  </si>
  <si>
    <t>шафа- стінка,стіл,шафа,пенал,стіл журн.,обідн.,демонстр.полки,трибуна</t>
  </si>
  <si>
    <t>фоторамка, фото бумага,папір А-4,коректор,грамота,скотч,</t>
  </si>
  <si>
    <t>телевізор</t>
  </si>
  <si>
    <t xml:space="preserve"> тарелки</t>
  </si>
  <si>
    <t>матраси на диван, гобелен на диван</t>
  </si>
  <si>
    <t>натяжна стеля,диск полір., жидкі гвозді, гофра,підвіконня,плитка,скло</t>
  </si>
  <si>
    <t>лампи люмінісцентні,стартовий профіль,внут.кут,профіль,ручка д/дверей, замок врізний,саморізи, пилочне полотно,пакети д/сміття, губки кухонні,бак д/ смиття, годинники</t>
  </si>
  <si>
    <t>КCШ№ 74</t>
  </si>
  <si>
    <t>телевізор ,принтер</t>
  </si>
  <si>
    <t>накладні світлодіодні,ізоляційна стрічка,саморізи-дюбеля,кабільгі канали, дріт-шввп,клемні колодки,двері, дверці морозільну камеру</t>
  </si>
  <si>
    <t>труби,плитка ,клей</t>
  </si>
  <si>
    <t>гардини</t>
  </si>
  <si>
    <t>унітаз,трійник, редукція</t>
  </si>
  <si>
    <t>стенд,шкільна дошка</t>
  </si>
  <si>
    <t>стіл учнівський,стілець учнівський,парти</t>
  </si>
  <si>
    <t>Гим 91</t>
  </si>
  <si>
    <t>грати</t>
  </si>
  <si>
    <t>жалюзі вертикальни</t>
  </si>
  <si>
    <t>дезтабнью,бланидас</t>
  </si>
  <si>
    <t>стенд метал.</t>
  </si>
  <si>
    <t>дошка учнівська,стенд</t>
  </si>
  <si>
    <t>шафа</t>
  </si>
  <si>
    <t>КСШ107</t>
  </si>
  <si>
    <t>КЗШ №113</t>
  </si>
  <si>
    <t>двері металопластикові ,вікно металопластікове</t>
  </si>
  <si>
    <t>лавки дерев,яні</t>
  </si>
  <si>
    <t>КСШ №118</t>
  </si>
  <si>
    <t>вогнегасники ВП2</t>
  </si>
  <si>
    <t>дошка шкільна</t>
  </si>
  <si>
    <t>вогнегасник</t>
  </si>
  <si>
    <t>водонагрівач</t>
  </si>
  <si>
    <t>шафа б/у, шафа оф., д/одягу, стіл оф., тумба д/сидіння, ,підставка д/квітів,полка, тумба</t>
  </si>
  <si>
    <t>чистячий, видбілючий засіб, мило господарче , засіб д/чищення</t>
  </si>
  <si>
    <t>віделка, ложка</t>
  </si>
  <si>
    <t>туалет.папір,краскопульт,світильник</t>
  </si>
  <si>
    <t>КЗШ №119</t>
  </si>
  <si>
    <t>дошка класна</t>
  </si>
  <si>
    <t>світильники LED,бра б/у</t>
  </si>
  <si>
    <t>Дошка меморіальна (АТО Письменного І.Л.)</t>
  </si>
  <si>
    <t xml:space="preserve">дошка меморіальна </t>
  </si>
  <si>
    <t>скло віконне б/у</t>
  </si>
  <si>
    <t>стіл виробничий б/у,диван б/у,крісло п/м б/у,крісло офісне на колесах,</t>
  </si>
  <si>
    <t xml:space="preserve"> проточний водонагрівач б/у,мікрохвильова піч,принтер,микрофон</t>
  </si>
  <si>
    <t>КЗШ №120</t>
  </si>
  <si>
    <t>КЗШ №122</t>
  </si>
  <si>
    <t>програмне забеспечення,фліпчарт,сумка д/ноутб.катріджі</t>
  </si>
  <si>
    <t>коркова дошка</t>
  </si>
  <si>
    <t>дезактин, бланидас</t>
  </si>
  <si>
    <t>круг алмазн</t>
  </si>
  <si>
    <t>стілець,стіл,колонки</t>
  </si>
  <si>
    <t>ворота фут.,щит баск.,сітка вол.,футб.,козел гім.,стіл д/ тенису,місток гім.,мяч</t>
  </si>
  <si>
    <t xml:space="preserve"> папір,папір д/фліпчартів</t>
  </si>
  <si>
    <t>Ноутбук НР,мультимедійний проектор,МФУ, чемодан модернизатор</t>
  </si>
  <si>
    <t>сантехника</t>
  </si>
  <si>
    <t>змішувач для кухні, шланг д/води,умивальник, унитаз,труба растяжка,кріплення умив сифон раков.,умивальник.п,ьєдестал</t>
  </si>
  <si>
    <t>плитка беж,плитка,клей для плитки,цвяхи будів.,тоніровка,фарба водно-дисп.фарба алкідна,емаль алкідна,лінолеум,клей д/лінолеуму,плити деревостружкові,папір шліфувальн.грунтовка,плінтус,кутик штукат.,шпаклівка ,старт.фін.вимикачі,розетка ел.кріплення ел.,кабель ввп,коробка під розетку, дюбелі,цементно-вапняна штукат.шкребок металевий,грунтовка  універсальна</t>
  </si>
  <si>
    <t>КЗШ №124</t>
  </si>
  <si>
    <t>компьютер</t>
  </si>
  <si>
    <t>Дошка меморіальна (АТО Русін А.М.)</t>
  </si>
  <si>
    <t>Бланидас</t>
  </si>
  <si>
    <t>стілець уч.стіл,тумба,шафа</t>
  </si>
  <si>
    <t>замена кришки парт</t>
  </si>
  <si>
    <t>НВК №240</t>
  </si>
  <si>
    <t>дошка коркова</t>
  </si>
  <si>
    <t>література</t>
  </si>
  <si>
    <t>телевізор, машинка пральна</t>
  </si>
  <si>
    <t>матраци, рушники</t>
  </si>
  <si>
    <t>порошок пральний</t>
  </si>
  <si>
    <t>дозатори, миски пластмасові</t>
  </si>
  <si>
    <t>шафи д/одягу,стільці дитячі,парти</t>
  </si>
  <si>
    <t>НВК №278</t>
  </si>
  <si>
    <t>труба, хрестовина, редукція,резинка,муфта,кріплення,трійник,перехід,угол,вентиль, замок</t>
  </si>
  <si>
    <t>ігровий м,який модуль для дітей</t>
  </si>
  <si>
    <t>хлорантоін</t>
  </si>
  <si>
    <t>пакети д/сміття, папір туалетн.рушники- салфетки паперові,рукавички госп.,мочалка д/посуду,</t>
  </si>
  <si>
    <t>Ноутбук НР,водонагрівач</t>
  </si>
  <si>
    <t>Монітор,принтер</t>
  </si>
  <si>
    <t xml:space="preserve"> компьютера</t>
  </si>
  <si>
    <t xml:space="preserve">сода кальц,мило рідке, чистячий </t>
  </si>
  <si>
    <t>КПНЛ</t>
  </si>
  <si>
    <t>вогнегасники</t>
  </si>
  <si>
    <t>аудиторна дошка</t>
  </si>
  <si>
    <t xml:space="preserve"> компьют. столи</t>
  </si>
  <si>
    <t>мило господ. мило туалет.  чистячий</t>
  </si>
  <si>
    <t xml:space="preserve"> клей,шпаклівка</t>
  </si>
  <si>
    <t>посуд</t>
  </si>
  <si>
    <t>пакети д/ смиття</t>
  </si>
  <si>
    <t>Дюсш-8</t>
  </si>
  <si>
    <t>абонементи дитячі одноразові</t>
  </si>
  <si>
    <t xml:space="preserve"> болгарка, зварювальний апарат, електро дриль</t>
  </si>
  <si>
    <t>шафа 3х дв.,книжна,стіл офісний,шафа навісна,стіл 3х секційний</t>
  </si>
  <si>
    <t>одовжувач,ялинка штучна</t>
  </si>
  <si>
    <t>Дюсш-10</t>
  </si>
  <si>
    <t>шафа-стінка, стіл, антресоль</t>
  </si>
  <si>
    <t>лінолеум</t>
  </si>
  <si>
    <t>меблева стінка, стіл</t>
  </si>
  <si>
    <t>стілець офісний ,шкаф</t>
  </si>
  <si>
    <t>порошок ,мило госп.</t>
  </si>
  <si>
    <t>грунтовка, шпаклевка, клей для ленолеума, емаль</t>
  </si>
  <si>
    <t>засіб миючий, засіб чистячий</t>
  </si>
  <si>
    <t>папір, файли, грамоти</t>
  </si>
  <si>
    <t>пакети д/ смиття, круг,гофра, дюбель</t>
  </si>
  <si>
    <t>вапно, шпаклевка, грунтовка, провід,емаль,</t>
  </si>
  <si>
    <t>стіл компьютерний,корпусні меблі</t>
  </si>
  <si>
    <t>папір,ватман, файли зошит</t>
  </si>
  <si>
    <t>карниз пласт., подсветка д/шк.дошки</t>
  </si>
  <si>
    <t>ОСБ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</si>
</sst>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justify" vertical="center" wrapText="1"/>
    </xf>
    <xf numFmtId="2" fontId="1" fillId="2" borderId="10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justify" vertical="center" wrapText="1"/>
    </xf>
    <xf numFmtId="2" fontId="1" fillId="3" borderId="10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/>
    <xf numFmtId="0" fontId="2" fillId="2" borderId="9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justify" vertical="center"/>
    </xf>
    <xf numFmtId="0" fontId="8" fillId="2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7" fillId="4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justify" vertical="center" wrapText="1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9" xfId="0" applyFont="1" applyFill="1" applyBorder="1" applyAlignment="1">
      <alignment horizontal="justify" vertical="center"/>
    </xf>
    <xf numFmtId="0" fontId="8" fillId="3" borderId="11" xfId="0" applyFont="1" applyFill="1" applyBorder="1" applyAlignment="1">
      <alignment horizontal="justify" vertical="center" wrapText="1"/>
    </xf>
    <xf numFmtId="2" fontId="7" fillId="3" borderId="9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justify" vertical="center" wrapText="1"/>
    </xf>
    <xf numFmtId="2" fontId="7" fillId="3" borderId="10" xfId="0" applyNumberFormat="1" applyFont="1" applyFill="1" applyBorder="1" applyAlignment="1">
      <alignment horizontal="center" vertical="center"/>
    </xf>
    <xf numFmtId="4" fontId="8" fillId="3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justify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justify" vertical="center" wrapText="1"/>
    </xf>
    <xf numFmtId="2" fontId="1" fillId="2" borderId="15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justify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justify" vertical="center"/>
    </xf>
    <xf numFmtId="0" fontId="2" fillId="3" borderId="5" xfId="0" applyFont="1" applyFill="1" applyBorder="1" applyAlignment="1">
      <alignment horizontal="justify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/>
    </xf>
    <xf numFmtId="2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justify" vertical="center" wrapText="1"/>
    </xf>
    <xf numFmtId="2" fontId="1" fillId="3" borderId="5" xfId="0" applyNumberFormat="1" applyFont="1" applyFill="1" applyBorder="1" applyAlignment="1">
      <alignment horizontal="justify" vertical="center" wrapText="1"/>
    </xf>
    <xf numFmtId="2" fontId="1" fillId="3" borderId="6" xfId="0" applyNumberFormat="1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justify" vertical="center"/>
    </xf>
    <xf numFmtId="0" fontId="8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justify" vertical="center" wrapText="1"/>
    </xf>
    <xf numFmtId="2" fontId="7" fillId="2" borderId="15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justify" vertical="center" wrapText="1"/>
    </xf>
    <xf numFmtId="2" fontId="7" fillId="2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justify" vertical="center"/>
    </xf>
    <xf numFmtId="0" fontId="8" fillId="3" borderId="5" xfId="0" applyFont="1" applyFill="1" applyBorder="1" applyAlignment="1">
      <alignment horizontal="justify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justify" vertical="center"/>
    </xf>
    <xf numFmtId="2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justify" vertical="center" wrapText="1"/>
    </xf>
    <xf numFmtId="2" fontId="7" fillId="3" borderId="5" xfId="0" applyNumberFormat="1" applyFont="1" applyFill="1" applyBorder="1" applyAlignment="1">
      <alignment horizontal="justify" vertical="center" wrapText="1"/>
    </xf>
    <xf numFmtId="2" fontId="7" fillId="3" borderId="6" xfId="0" applyNumberFormat="1" applyFont="1" applyFill="1" applyBorder="1" applyAlignment="1">
      <alignment horizontal="center" vertical="center"/>
    </xf>
    <xf numFmtId="4" fontId="8" fillId="3" borderId="1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vertical="center"/>
    </xf>
    <xf numFmtId="0" fontId="6" fillId="2" borderId="11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6" fillId="0" borderId="17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/>
    <xf numFmtId="0" fontId="6" fillId="0" borderId="11" xfId="0" applyNumberFormat="1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7" fillId="4" borderId="1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7" fillId="4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2" fontId="6" fillId="0" borderId="9" xfId="0" applyNumberFormat="1" applyFont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7" fillId="4" borderId="9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AM17"/>
  <sheetViews>
    <sheetView topLeftCell="I9" zoomScale="75" zoomScaleNormal="75" workbookViewId="0">
      <selection activeCell="AL27" sqref="AL27"/>
    </sheetView>
  </sheetViews>
  <sheetFormatPr defaultColWidth="18.85546875" defaultRowHeight="15.75"/>
  <cols>
    <col min="1" max="1" width="5.28515625" style="30" customWidth="1"/>
    <col min="2" max="2" width="18.85546875" style="30"/>
    <col min="3" max="3" width="15.42578125" style="30" customWidth="1"/>
    <col min="4" max="4" width="12.7109375" style="30" customWidth="1"/>
    <col min="5" max="5" width="18.85546875" style="30"/>
    <col min="6" max="6" width="13.28515625" style="30" customWidth="1"/>
    <col min="7" max="7" width="18.85546875" style="30"/>
    <col min="8" max="8" width="13.28515625" style="30" customWidth="1"/>
    <col min="9" max="9" width="16" style="30" customWidth="1"/>
    <col min="10" max="10" width="11.28515625" style="30" customWidth="1"/>
    <col min="11" max="11" width="0" style="30" hidden="1" customWidth="1"/>
    <col min="12" max="12" width="12.28515625" style="30" hidden="1" customWidth="1"/>
    <col min="13" max="13" width="0" style="30" hidden="1" customWidth="1"/>
    <col min="14" max="14" width="14.7109375" style="30" hidden="1" customWidth="1"/>
    <col min="15" max="15" width="0" style="30" hidden="1" customWidth="1"/>
    <col min="16" max="16" width="14.85546875" style="30" hidden="1" customWidth="1"/>
    <col min="17" max="17" width="0" style="30" hidden="1" customWidth="1"/>
    <col min="18" max="18" width="14.28515625" style="30" hidden="1" customWidth="1"/>
    <col min="19" max="20" width="0" style="30" hidden="1" customWidth="1"/>
    <col min="21" max="21" width="18.85546875" style="30"/>
    <col min="22" max="22" width="14.28515625" style="30" customWidth="1"/>
    <col min="23" max="23" width="18.85546875" style="30"/>
    <col min="24" max="24" width="11" style="30" customWidth="1"/>
    <col min="25" max="25" width="12.42578125" style="30" hidden="1" customWidth="1"/>
    <col min="26" max="26" width="15.7109375" style="30" hidden="1" customWidth="1"/>
    <col min="27" max="27" width="18.85546875" style="30"/>
    <col min="28" max="28" width="12" style="30" customWidth="1"/>
    <col min="29" max="29" width="16.7109375" style="30" hidden="1" customWidth="1"/>
    <col min="30" max="30" width="17.140625" style="30" hidden="1" customWidth="1"/>
    <col min="31" max="31" width="0" style="30" hidden="1" customWidth="1"/>
    <col min="32" max="32" width="15.42578125" style="30" hidden="1" customWidth="1"/>
    <col min="33" max="34" width="0" style="30" hidden="1" customWidth="1"/>
    <col min="35" max="35" width="15.42578125" style="30" customWidth="1"/>
    <col min="36" max="36" width="11.7109375" style="30" customWidth="1"/>
    <col min="37" max="37" width="12.5703125" style="30" customWidth="1"/>
    <col min="38" max="38" width="12.140625" style="30" customWidth="1"/>
    <col min="39" max="39" width="14.85546875" style="30" customWidth="1"/>
    <col min="40" max="16384" width="18.85546875" style="30"/>
  </cols>
  <sheetData>
    <row r="14" spans="1:39" ht="24" thickBot="1">
      <c r="A14" s="168" t="s">
        <v>0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70"/>
    </row>
    <row r="15" spans="1:39" ht="35.25" customHeight="1" thickBot="1">
      <c r="A15" s="1" t="s">
        <v>1</v>
      </c>
      <c r="B15" s="2" t="s">
        <v>2</v>
      </c>
      <c r="C15" s="3" t="s">
        <v>3</v>
      </c>
      <c r="D15" s="4" t="s">
        <v>4</v>
      </c>
      <c r="E15" s="2" t="s">
        <v>5</v>
      </c>
      <c r="F15" s="4" t="s">
        <v>4</v>
      </c>
      <c r="G15" s="5" t="s">
        <v>6</v>
      </c>
      <c r="H15" s="4" t="s">
        <v>4</v>
      </c>
      <c r="I15" s="3" t="s">
        <v>7</v>
      </c>
      <c r="J15" s="4" t="s">
        <v>4</v>
      </c>
      <c r="K15" s="2" t="s">
        <v>8</v>
      </c>
      <c r="L15" s="3" t="s">
        <v>4</v>
      </c>
      <c r="M15" s="5" t="s">
        <v>9</v>
      </c>
      <c r="N15" s="4" t="s">
        <v>4</v>
      </c>
      <c r="O15" s="5" t="s">
        <v>10</v>
      </c>
      <c r="P15" s="4" t="s">
        <v>4</v>
      </c>
      <c r="Q15" s="5" t="s">
        <v>11</v>
      </c>
      <c r="R15" s="6" t="s">
        <v>4</v>
      </c>
      <c r="S15" s="5" t="s">
        <v>12</v>
      </c>
      <c r="T15" s="4" t="s">
        <v>4</v>
      </c>
      <c r="U15" s="5" t="s">
        <v>13</v>
      </c>
      <c r="V15" s="4" t="s">
        <v>4</v>
      </c>
      <c r="W15" s="5" t="s">
        <v>14</v>
      </c>
      <c r="X15" s="4" t="s">
        <v>4</v>
      </c>
      <c r="Y15" s="5" t="s">
        <v>15</v>
      </c>
      <c r="Z15" s="4" t="s">
        <v>4</v>
      </c>
      <c r="AA15" s="5" t="s">
        <v>16</v>
      </c>
      <c r="AB15" s="4" t="s">
        <v>4</v>
      </c>
      <c r="AC15" s="5" t="s">
        <v>17</v>
      </c>
      <c r="AD15" s="4" t="s">
        <v>4</v>
      </c>
      <c r="AE15" s="4" t="s">
        <v>18</v>
      </c>
      <c r="AF15" s="4" t="s">
        <v>4</v>
      </c>
      <c r="AG15" s="5" t="s">
        <v>19</v>
      </c>
      <c r="AH15" s="4" t="s">
        <v>4</v>
      </c>
      <c r="AI15" s="26" t="s">
        <v>26</v>
      </c>
      <c r="AJ15" s="4" t="s">
        <v>4</v>
      </c>
      <c r="AK15" s="7" t="s">
        <v>20</v>
      </c>
      <c r="AL15" s="4" t="s">
        <v>4</v>
      </c>
      <c r="AM15" s="8" t="s">
        <v>21</v>
      </c>
    </row>
    <row r="16" spans="1:39" ht="114.75" customHeight="1">
      <c r="A16" s="9">
        <v>1</v>
      </c>
      <c r="B16" s="31" t="s">
        <v>22</v>
      </c>
      <c r="C16" s="29" t="s">
        <v>85</v>
      </c>
      <c r="D16" s="27">
        <f>3149.1+40+140</f>
        <v>3329.1</v>
      </c>
      <c r="E16" s="26" t="s">
        <v>28</v>
      </c>
      <c r="F16" s="27">
        <f>141.25+32.05+10+44+352+356</f>
        <v>935.3</v>
      </c>
      <c r="G16" s="26" t="s">
        <v>27</v>
      </c>
      <c r="H16" s="27">
        <f>612+64.6+174.3+114.6+254.2</f>
        <v>1219.7</v>
      </c>
      <c r="I16" s="26" t="s">
        <v>29</v>
      </c>
      <c r="J16" s="27">
        <f>26+12+22+110+60+14+63+36+1990+149+45+36+25</f>
        <v>2588</v>
      </c>
      <c r="K16" s="12"/>
      <c r="L16" s="13"/>
      <c r="M16" s="14"/>
      <c r="N16" s="15"/>
      <c r="O16" s="12"/>
      <c r="P16" s="10"/>
      <c r="Q16" s="9"/>
      <c r="R16" s="10"/>
      <c r="S16" s="10"/>
      <c r="T16" s="10"/>
      <c r="U16" s="28" t="s">
        <v>30</v>
      </c>
      <c r="V16" s="27">
        <v>1794</v>
      </c>
      <c r="W16" s="26" t="s">
        <v>31</v>
      </c>
      <c r="X16" s="27">
        <f>80+84</f>
        <v>164</v>
      </c>
      <c r="Y16" s="11"/>
      <c r="Z16" s="10"/>
      <c r="AA16" s="26" t="s">
        <v>25</v>
      </c>
      <c r="AB16" s="27">
        <v>3060</v>
      </c>
      <c r="AC16" s="10"/>
      <c r="AD16" s="10"/>
      <c r="AE16" s="10"/>
      <c r="AF16" s="10"/>
      <c r="AG16" s="10"/>
      <c r="AH16" s="10"/>
      <c r="AI16" s="26" t="s">
        <v>26</v>
      </c>
      <c r="AJ16" s="27">
        <v>380</v>
      </c>
      <c r="AK16" s="11" t="s">
        <v>23</v>
      </c>
      <c r="AL16" s="10">
        <v>1400</v>
      </c>
      <c r="AM16" s="16"/>
    </row>
    <row r="17" spans="1:39" ht="27" customHeight="1">
      <c r="A17" s="17"/>
      <c r="B17" s="18" t="s">
        <v>24</v>
      </c>
      <c r="C17" s="17"/>
      <c r="D17" s="19">
        <f>SUM(D16)</f>
        <v>3329.1</v>
      </c>
      <c r="E17" s="17"/>
      <c r="F17" s="19">
        <f>SUM(F16)</f>
        <v>935.3</v>
      </c>
      <c r="G17" s="20"/>
      <c r="H17" s="19">
        <f>SUM(H16)</f>
        <v>1219.7</v>
      </c>
      <c r="I17" s="17"/>
      <c r="J17" s="19">
        <f>SUM(J16)</f>
        <v>2588</v>
      </c>
      <c r="K17" s="21"/>
      <c r="L17" s="22"/>
      <c r="M17" s="23"/>
      <c r="N17" s="24"/>
      <c r="O17" s="21"/>
      <c r="P17" s="19"/>
      <c r="Q17" s="17"/>
      <c r="R17" s="19"/>
      <c r="S17" s="19"/>
      <c r="T17" s="19"/>
      <c r="U17" s="19"/>
      <c r="V17" s="19">
        <f>SUM(V16)</f>
        <v>1794</v>
      </c>
      <c r="W17" s="19"/>
      <c r="X17" s="19">
        <f>SUM(X16)</f>
        <v>164</v>
      </c>
      <c r="Y17" s="19"/>
      <c r="Z17" s="19">
        <f>SUM(Z16)</f>
        <v>0</v>
      </c>
      <c r="AA17" s="19"/>
      <c r="AB17" s="19">
        <f>SUM(AB16)</f>
        <v>3060</v>
      </c>
      <c r="AC17" s="19"/>
      <c r="AD17" s="19">
        <f>SUM(AD16)</f>
        <v>0</v>
      </c>
      <c r="AE17" s="19"/>
      <c r="AF17" s="19">
        <f>SUM(AF16)</f>
        <v>0</v>
      </c>
      <c r="AG17" s="19"/>
      <c r="AH17" s="19"/>
      <c r="AI17" s="19"/>
      <c r="AJ17" s="19">
        <f>SUM(AJ16)</f>
        <v>380</v>
      </c>
      <c r="AK17" s="19"/>
      <c r="AL17" s="19">
        <f>SUM(AL16)</f>
        <v>1400</v>
      </c>
      <c r="AM17" s="25">
        <f>SUM(D17:AL17)</f>
        <v>14870.099999999999</v>
      </c>
    </row>
  </sheetData>
  <mergeCells count="1">
    <mergeCell ref="A14:AM14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4"/>
  <sheetViews>
    <sheetView zoomScale="75" zoomScaleNormal="75" workbookViewId="0">
      <selection activeCell="N9" sqref="N9"/>
    </sheetView>
  </sheetViews>
  <sheetFormatPr defaultRowHeight="18.75"/>
  <cols>
    <col min="1" max="1" width="5.7109375" style="38" customWidth="1"/>
    <col min="2" max="2" width="17" style="38" customWidth="1"/>
    <col min="3" max="8" width="0" style="38" hidden="1" customWidth="1"/>
    <col min="9" max="9" width="18.42578125" style="38" customWidth="1"/>
    <col min="10" max="10" width="17.140625" style="38" customWidth="1"/>
    <col min="11" max="12" width="0" style="38" hidden="1" customWidth="1"/>
    <col min="13" max="13" width="23.140625" style="38" customWidth="1"/>
    <col min="14" max="14" width="15.5703125" style="38" customWidth="1"/>
    <col min="15" max="15" width="14.28515625" style="38" customWidth="1"/>
    <col min="16" max="16" width="14" style="38" customWidth="1"/>
    <col min="17" max="21" width="0" style="38" hidden="1" customWidth="1"/>
    <col min="22" max="22" width="9.140625" style="38" hidden="1" customWidth="1"/>
    <col min="23" max="23" width="14.28515625" style="38" customWidth="1"/>
    <col min="24" max="24" width="14.85546875" style="38" customWidth="1"/>
    <col min="25" max="26" width="0" style="38" hidden="1" customWidth="1"/>
    <col min="27" max="27" width="15.85546875" style="38" customWidth="1"/>
    <col min="28" max="28" width="12.42578125" style="38" customWidth="1"/>
    <col min="29" max="42" width="0" style="38" hidden="1" customWidth="1"/>
    <col min="43" max="43" width="20" style="38" customWidth="1"/>
    <col min="44" max="16384" width="9.140625" style="38"/>
  </cols>
  <sheetData>
    <row r="1" spans="1:43" ht="39" customHeight="1" thickBot="1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2"/>
    </row>
    <row r="2" spans="1:43" ht="77.25" customHeight="1" thickBot="1">
      <c r="A2" s="39" t="s">
        <v>1</v>
      </c>
      <c r="B2" s="40" t="s">
        <v>2</v>
      </c>
      <c r="C2" s="40" t="s">
        <v>58</v>
      </c>
      <c r="D2" s="41" t="s">
        <v>4</v>
      </c>
      <c r="E2" s="40" t="s">
        <v>47</v>
      </c>
      <c r="F2" s="41" t="s">
        <v>4</v>
      </c>
      <c r="G2" s="41" t="s">
        <v>3</v>
      </c>
      <c r="H2" s="42" t="s">
        <v>4</v>
      </c>
      <c r="I2" s="40" t="s">
        <v>5</v>
      </c>
      <c r="J2" s="42" t="s">
        <v>4</v>
      </c>
      <c r="K2" s="43" t="s">
        <v>6</v>
      </c>
      <c r="L2" s="42" t="s">
        <v>4</v>
      </c>
      <c r="M2" s="41" t="s">
        <v>7</v>
      </c>
      <c r="N2" s="42" t="s">
        <v>4</v>
      </c>
      <c r="O2" s="40" t="s">
        <v>8</v>
      </c>
      <c r="P2" s="41" t="s">
        <v>4</v>
      </c>
      <c r="Q2" s="43" t="s">
        <v>9</v>
      </c>
      <c r="R2" s="42" t="s">
        <v>4</v>
      </c>
      <c r="S2" s="43" t="s">
        <v>10</v>
      </c>
      <c r="T2" s="42" t="s">
        <v>4</v>
      </c>
      <c r="U2" s="43" t="s">
        <v>11</v>
      </c>
      <c r="V2" s="44" t="s">
        <v>4</v>
      </c>
      <c r="W2" s="43" t="s">
        <v>12</v>
      </c>
      <c r="X2" s="42" t="s">
        <v>4</v>
      </c>
      <c r="Y2" s="43" t="s">
        <v>13</v>
      </c>
      <c r="Z2" s="42" t="s">
        <v>4</v>
      </c>
      <c r="AA2" s="43" t="s">
        <v>14</v>
      </c>
      <c r="AB2" s="42" t="s">
        <v>4</v>
      </c>
      <c r="AC2" s="43" t="s">
        <v>15</v>
      </c>
      <c r="AD2" s="42" t="s">
        <v>4</v>
      </c>
      <c r="AE2" s="43" t="s">
        <v>16</v>
      </c>
      <c r="AF2" s="42" t="s">
        <v>4</v>
      </c>
      <c r="AG2" s="43" t="s">
        <v>44</v>
      </c>
      <c r="AH2" s="42" t="s">
        <v>4</v>
      </c>
      <c r="AI2" s="42" t="s">
        <v>18</v>
      </c>
      <c r="AJ2" s="42" t="s">
        <v>4</v>
      </c>
      <c r="AK2" s="43" t="s">
        <v>19</v>
      </c>
      <c r="AL2" s="42" t="s">
        <v>4</v>
      </c>
      <c r="AM2" s="103" t="s">
        <v>65</v>
      </c>
      <c r="AN2" s="42" t="s">
        <v>4</v>
      </c>
      <c r="AO2" s="46" t="s">
        <v>20</v>
      </c>
      <c r="AP2" s="42" t="s">
        <v>4</v>
      </c>
      <c r="AQ2" s="47" t="s">
        <v>21</v>
      </c>
    </row>
    <row r="3" spans="1:43" s="63" customFormat="1" ht="154.5" customHeight="1" thickBot="1">
      <c r="A3" s="104">
        <v>1</v>
      </c>
      <c r="B3" s="105" t="s">
        <v>78</v>
      </c>
      <c r="C3" s="50"/>
      <c r="D3" s="55"/>
      <c r="E3" s="134"/>
      <c r="F3" s="128"/>
      <c r="G3" s="134"/>
      <c r="H3" s="128"/>
      <c r="I3" s="127" t="s">
        <v>79</v>
      </c>
      <c r="J3" s="55">
        <f>126+450+82+210+71+204+230</f>
        <v>1373</v>
      </c>
      <c r="K3" s="45"/>
      <c r="L3" s="51"/>
      <c r="M3" s="50" t="s">
        <v>80</v>
      </c>
      <c r="N3" s="144">
        <f>32500+63612+58080+39+402123</f>
        <v>556354</v>
      </c>
      <c r="O3" s="50" t="s">
        <v>54</v>
      </c>
      <c r="P3" s="55">
        <f>268+195+198+270</f>
        <v>931</v>
      </c>
      <c r="Q3" s="110"/>
      <c r="R3" s="111"/>
      <c r="S3" s="112"/>
      <c r="T3" s="113"/>
      <c r="U3" s="104"/>
      <c r="V3" s="113"/>
      <c r="W3" s="50" t="s">
        <v>68</v>
      </c>
      <c r="X3" s="55">
        <f>750+765+530</f>
        <v>2045</v>
      </c>
      <c r="Y3" s="109"/>
      <c r="Z3" s="108"/>
      <c r="AA3" s="127" t="s">
        <v>81</v>
      </c>
      <c r="AB3" s="55">
        <v>180</v>
      </c>
      <c r="AC3" s="132"/>
      <c r="AD3" s="51"/>
      <c r="AE3" s="114"/>
      <c r="AF3" s="115"/>
      <c r="AG3" s="116"/>
      <c r="AH3" s="113"/>
      <c r="AI3" s="113"/>
      <c r="AJ3" s="113"/>
      <c r="AK3" s="50"/>
      <c r="AL3" s="128"/>
      <c r="AM3" s="45"/>
      <c r="AN3" s="51"/>
      <c r="AO3" s="116"/>
      <c r="AP3" s="113"/>
      <c r="AQ3" s="117"/>
    </row>
    <row r="4" spans="1:43" ht="19.5" thickBot="1">
      <c r="A4" s="118"/>
      <c r="B4" s="119" t="s">
        <v>24</v>
      </c>
      <c r="C4" s="119"/>
      <c r="D4" s="124">
        <f>SUM(D3)</f>
        <v>0</v>
      </c>
      <c r="E4" s="119"/>
      <c r="F4" s="120">
        <f>SUM(F3)</f>
        <v>0</v>
      </c>
      <c r="G4" s="121"/>
      <c r="H4" s="122">
        <f>SUM(H3)</f>
        <v>0</v>
      </c>
      <c r="I4" s="121"/>
      <c r="J4" s="122">
        <f>SUM(J3)</f>
        <v>1373</v>
      </c>
      <c r="K4" s="120"/>
      <c r="L4" s="122">
        <f>SUM(L3)</f>
        <v>0</v>
      </c>
      <c r="M4" s="121"/>
      <c r="N4" s="122">
        <f>SUM(N3)</f>
        <v>556354</v>
      </c>
      <c r="O4" s="123"/>
      <c r="P4" s="122">
        <f>SUM(P3)</f>
        <v>931</v>
      </c>
      <c r="Q4" s="124"/>
      <c r="R4" s="125"/>
      <c r="S4" s="123"/>
      <c r="T4" s="122"/>
      <c r="U4" s="121"/>
      <c r="V4" s="122"/>
      <c r="W4" s="122"/>
      <c r="X4" s="122">
        <f>SUM(X3)</f>
        <v>2045</v>
      </c>
      <c r="Y4" s="122"/>
      <c r="Z4" s="122">
        <f>SUM(Z3)</f>
        <v>0</v>
      </c>
      <c r="AA4" s="122"/>
      <c r="AB4" s="122">
        <f>SUM(AB3)</f>
        <v>180</v>
      </c>
      <c r="AC4" s="122"/>
      <c r="AD4" s="122">
        <f>SUM(AD3)</f>
        <v>0</v>
      </c>
      <c r="AE4" s="122"/>
      <c r="AF4" s="122">
        <f>SUM(AF3)</f>
        <v>0</v>
      </c>
      <c r="AG4" s="122"/>
      <c r="AH4" s="122">
        <f>SUM(AH3)</f>
        <v>0</v>
      </c>
      <c r="AI4" s="122"/>
      <c r="AJ4" s="122">
        <f>SUM(AJ3)</f>
        <v>0</v>
      </c>
      <c r="AK4" s="122"/>
      <c r="AL4" s="122">
        <f>SUM(AL3)</f>
        <v>0</v>
      </c>
      <c r="AM4" s="122"/>
      <c r="AN4" s="122">
        <f>SUM(AN3)</f>
        <v>0</v>
      </c>
      <c r="AO4" s="122"/>
      <c r="AP4" s="122">
        <f>SUM(AP3)</f>
        <v>0</v>
      </c>
      <c r="AQ4" s="126">
        <f>SUM(D4:AP4)</f>
        <v>560883</v>
      </c>
    </row>
  </sheetData>
  <mergeCells count="1">
    <mergeCell ref="A1:AQ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5"/>
  <sheetViews>
    <sheetView zoomScale="75" zoomScaleNormal="75" workbookViewId="0">
      <selection activeCell="E10" sqref="E10"/>
    </sheetView>
  </sheetViews>
  <sheetFormatPr defaultRowHeight="18.75"/>
  <cols>
    <col min="1" max="1" width="9.140625" style="38"/>
    <col min="2" max="2" width="14.42578125" style="38" customWidth="1"/>
    <col min="3" max="3" width="13.28515625" style="38" customWidth="1"/>
    <col min="4" max="4" width="12.28515625" style="38" customWidth="1"/>
    <col min="5" max="5" width="12.7109375" style="38" customWidth="1"/>
    <col min="6" max="6" width="10" style="38" bestFit="1" customWidth="1"/>
    <col min="7" max="7" width="14.140625" style="38" customWidth="1"/>
    <col min="8" max="8" width="9.85546875" style="38" customWidth="1"/>
    <col min="9" max="9" width="0" style="38" hidden="1" customWidth="1"/>
    <col min="10" max="10" width="10" style="38" hidden="1" customWidth="1"/>
    <col min="11" max="11" width="0" style="38" hidden="1" customWidth="1"/>
    <col min="12" max="12" width="3.42578125" style="38" hidden="1" customWidth="1"/>
    <col min="13" max="13" width="14.7109375" style="38" customWidth="1"/>
    <col min="14" max="14" width="14.85546875" style="38" customWidth="1"/>
    <col min="15" max="20" width="0" style="38" hidden="1" customWidth="1"/>
    <col min="21" max="21" width="13" style="38" customWidth="1"/>
    <col min="22" max="22" width="14.85546875" style="38" customWidth="1"/>
    <col min="23" max="36" width="0" style="38" hidden="1" customWidth="1"/>
    <col min="37" max="37" width="15.28515625" style="38" customWidth="1"/>
    <col min="38" max="38" width="13.140625" style="38" customWidth="1"/>
    <col min="39" max="41" width="0" style="38" hidden="1" customWidth="1"/>
    <col min="42" max="42" width="5.85546875" style="38" hidden="1" customWidth="1"/>
    <col min="43" max="43" width="13.85546875" style="38" customWidth="1"/>
    <col min="44" max="16384" width="9.140625" style="38"/>
  </cols>
  <sheetData>
    <row r="1" spans="1:43" ht="15.75" customHeight="1"/>
    <row r="2" spans="1:43" ht="39" customHeight="1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2"/>
    </row>
    <row r="3" spans="1:43" ht="77.25" customHeight="1" thickBot="1">
      <c r="A3" s="39" t="s">
        <v>1</v>
      </c>
      <c r="B3" s="40" t="s">
        <v>2</v>
      </c>
      <c r="C3" s="40" t="s">
        <v>58</v>
      </c>
      <c r="D3" s="41" t="s">
        <v>4</v>
      </c>
      <c r="E3" s="40" t="s">
        <v>47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10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65</v>
      </c>
      <c r="AN3" s="42" t="s">
        <v>4</v>
      </c>
      <c r="AO3" s="46" t="s">
        <v>20</v>
      </c>
      <c r="AP3" s="42" t="s">
        <v>4</v>
      </c>
      <c r="AQ3" s="47" t="s">
        <v>21</v>
      </c>
    </row>
    <row r="4" spans="1:43" s="63" customFormat="1" ht="226.5" customHeight="1" thickBot="1">
      <c r="A4" s="104">
        <v>1</v>
      </c>
      <c r="B4" s="105" t="s">
        <v>82</v>
      </c>
      <c r="C4" s="127" t="s">
        <v>84</v>
      </c>
      <c r="D4" s="55">
        <v>8200</v>
      </c>
      <c r="E4" s="127" t="s">
        <v>86</v>
      </c>
      <c r="F4" s="128">
        <v>4900</v>
      </c>
      <c r="G4" s="134" t="s">
        <v>85</v>
      </c>
      <c r="H4" s="128">
        <v>2999.9</v>
      </c>
      <c r="I4" s="127"/>
      <c r="J4" s="55"/>
      <c r="K4" s="45"/>
      <c r="L4" s="51"/>
      <c r="M4" s="127" t="s">
        <v>88</v>
      </c>
      <c r="N4" s="53">
        <f>6000+600+24000+525+2480</f>
        <v>33605</v>
      </c>
      <c r="O4" s="50"/>
      <c r="P4" s="55"/>
      <c r="Q4" s="110"/>
      <c r="R4" s="111"/>
      <c r="S4" s="112"/>
      <c r="T4" s="113"/>
      <c r="U4" s="127" t="s">
        <v>87</v>
      </c>
      <c r="V4" s="53">
        <f>5052+1320+4800</f>
        <v>11172</v>
      </c>
      <c r="W4" s="50"/>
      <c r="X4" s="55"/>
      <c r="Y4" s="109"/>
      <c r="Z4" s="108"/>
      <c r="AA4" s="127"/>
      <c r="AB4" s="55"/>
      <c r="AC4" s="132"/>
      <c r="AD4" s="51"/>
      <c r="AE4" s="114"/>
      <c r="AF4" s="115"/>
      <c r="AG4" s="116"/>
      <c r="AH4" s="113"/>
      <c r="AI4" s="113"/>
      <c r="AJ4" s="113"/>
      <c r="AK4" s="127" t="s">
        <v>83</v>
      </c>
      <c r="AL4" s="53">
        <v>41262</v>
      </c>
      <c r="AM4" s="45"/>
      <c r="AN4" s="51"/>
      <c r="AO4" s="116"/>
      <c r="AP4" s="113"/>
      <c r="AQ4" s="117"/>
    </row>
    <row r="5" spans="1:43" ht="19.5" thickBot="1">
      <c r="A5" s="118"/>
      <c r="B5" s="119" t="s">
        <v>24</v>
      </c>
      <c r="C5" s="119"/>
      <c r="D5" s="124">
        <f>SUM(D4)</f>
        <v>8200</v>
      </c>
      <c r="E5" s="119"/>
      <c r="F5" s="120">
        <f>SUM(F4)</f>
        <v>4900</v>
      </c>
      <c r="G5" s="121"/>
      <c r="H5" s="122">
        <f>SUM(H4)</f>
        <v>2999.9</v>
      </c>
      <c r="I5" s="121"/>
      <c r="J5" s="122">
        <f>SUM(J4)</f>
        <v>0</v>
      </c>
      <c r="K5" s="120"/>
      <c r="L5" s="122">
        <f>SUM(L4)</f>
        <v>0</v>
      </c>
      <c r="M5" s="121"/>
      <c r="N5" s="122">
        <f>SUM(N4)</f>
        <v>33605</v>
      </c>
      <c r="O5" s="123"/>
      <c r="P5" s="122">
        <f>SUM(P4)</f>
        <v>0</v>
      </c>
      <c r="Q5" s="124"/>
      <c r="R5" s="125"/>
      <c r="S5" s="123"/>
      <c r="T5" s="122"/>
      <c r="U5" s="121"/>
      <c r="V5" s="122">
        <f>SUM(V4)</f>
        <v>11172</v>
      </c>
      <c r="W5" s="122"/>
      <c r="X5" s="122">
        <f>SUM(X4)</f>
        <v>0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0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0</v>
      </c>
      <c r="AK5" s="122"/>
      <c r="AL5" s="122">
        <f>SUM(AL4)</f>
        <v>41262</v>
      </c>
      <c r="AM5" s="122"/>
      <c r="AN5" s="122">
        <f>SUM(AN4)</f>
        <v>0</v>
      </c>
      <c r="AO5" s="122"/>
      <c r="AP5" s="122">
        <f>SUM(AP4)</f>
        <v>0</v>
      </c>
      <c r="AQ5" s="126">
        <f>SUM(D5:AP5)</f>
        <v>102138.9</v>
      </c>
    </row>
  </sheetData>
  <mergeCells count="1">
    <mergeCell ref="A2:AQ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Q5"/>
  <sheetViews>
    <sheetView zoomScale="75" zoomScaleNormal="75" workbookViewId="0">
      <selection activeCell="L9" sqref="L9"/>
    </sheetView>
  </sheetViews>
  <sheetFormatPr defaultRowHeight="18.75"/>
  <cols>
    <col min="1" max="1" width="6.28515625" style="38" customWidth="1"/>
    <col min="2" max="2" width="15.5703125" style="38" customWidth="1"/>
    <col min="3" max="4" width="0" style="38" hidden="1" customWidth="1"/>
    <col min="5" max="5" width="12.140625" style="38" customWidth="1"/>
    <col min="6" max="6" width="12.42578125" style="38" customWidth="1"/>
    <col min="7" max="7" width="15.5703125" style="38" customWidth="1"/>
    <col min="8" max="8" width="13.5703125" style="38" customWidth="1"/>
    <col min="9" max="9" width="14.42578125" style="38" customWidth="1"/>
    <col min="10" max="10" width="9.140625" style="38"/>
    <col min="11" max="11" width="12.42578125" style="38" customWidth="1"/>
    <col min="12" max="12" width="11.85546875" style="38" customWidth="1"/>
    <col min="13" max="13" width="12" style="38" customWidth="1"/>
    <col min="14" max="14" width="10" style="38" bestFit="1" customWidth="1"/>
    <col min="15" max="22" width="0" style="38" hidden="1" customWidth="1"/>
    <col min="23" max="23" width="14.7109375" style="38" customWidth="1"/>
    <col min="24" max="24" width="13" style="38" customWidth="1"/>
    <col min="25" max="28" width="0" style="38" hidden="1" customWidth="1"/>
    <col min="29" max="30" width="9.140625" style="38"/>
    <col min="31" max="34" width="0" style="38" hidden="1" customWidth="1"/>
    <col min="35" max="35" width="12.7109375" style="38" customWidth="1"/>
    <col min="36" max="36" width="10.7109375" style="38" customWidth="1"/>
    <col min="37" max="37" width="11.28515625" style="38" hidden="1" customWidth="1"/>
    <col min="38" max="38" width="15.28515625" style="38" hidden="1" customWidth="1"/>
    <col min="39" max="42" width="0" style="38" hidden="1" customWidth="1"/>
    <col min="43" max="43" width="15.28515625" style="38" customWidth="1"/>
    <col min="44" max="16384" width="9.140625" style="38"/>
  </cols>
  <sheetData>
    <row r="2" spans="1:43" ht="39" customHeight="1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2"/>
    </row>
    <row r="3" spans="1:43" ht="77.25" customHeight="1" thickBot="1">
      <c r="A3" s="39" t="s">
        <v>1</v>
      </c>
      <c r="B3" s="40" t="s">
        <v>2</v>
      </c>
      <c r="C3" s="40" t="s">
        <v>58</v>
      </c>
      <c r="D3" s="41" t="s">
        <v>4</v>
      </c>
      <c r="E3" s="40" t="s">
        <v>47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10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65</v>
      </c>
      <c r="AN3" s="42" t="s">
        <v>4</v>
      </c>
      <c r="AO3" s="46" t="s">
        <v>20</v>
      </c>
      <c r="AP3" s="42" t="s">
        <v>4</v>
      </c>
      <c r="AQ3" s="47" t="s">
        <v>21</v>
      </c>
    </row>
    <row r="4" spans="1:43" s="63" customFormat="1" ht="226.5" customHeight="1" thickBot="1">
      <c r="A4" s="104">
        <v>1</v>
      </c>
      <c r="B4" s="105" t="s">
        <v>89</v>
      </c>
      <c r="C4" s="127"/>
      <c r="D4" s="55"/>
      <c r="E4" s="50" t="s">
        <v>91</v>
      </c>
      <c r="F4" s="53">
        <f>400+1700</f>
        <v>2100</v>
      </c>
      <c r="G4" s="50" t="s">
        <v>93</v>
      </c>
      <c r="H4" s="53">
        <f>6000+5000+500+500+5000</f>
        <v>17000</v>
      </c>
      <c r="I4" s="50" t="s">
        <v>203</v>
      </c>
      <c r="J4" s="51">
        <v>700</v>
      </c>
      <c r="K4" s="50" t="s">
        <v>204</v>
      </c>
      <c r="L4" s="53">
        <v>3000</v>
      </c>
      <c r="M4" s="127" t="s">
        <v>92</v>
      </c>
      <c r="N4" s="53">
        <f>5426+400</f>
        <v>5826</v>
      </c>
      <c r="O4" s="50"/>
      <c r="P4" s="55"/>
      <c r="Q4" s="110"/>
      <c r="R4" s="111"/>
      <c r="S4" s="112"/>
      <c r="T4" s="113"/>
      <c r="U4" s="127"/>
      <c r="V4" s="53"/>
      <c r="W4" s="129" t="s">
        <v>55</v>
      </c>
      <c r="X4" s="51">
        <f>4000+2000+2000+2000+1000+500+1000+1000+1000+1000</f>
        <v>15500</v>
      </c>
      <c r="Y4" s="109"/>
      <c r="Z4" s="108"/>
      <c r="AA4" s="127"/>
      <c r="AB4" s="55"/>
      <c r="AC4" s="129" t="s">
        <v>71</v>
      </c>
      <c r="AD4" s="53">
        <v>360</v>
      </c>
      <c r="AE4" s="114"/>
      <c r="AF4" s="115"/>
      <c r="AG4" s="116"/>
      <c r="AH4" s="113"/>
      <c r="AI4" s="50" t="s">
        <v>90</v>
      </c>
      <c r="AJ4" s="51">
        <v>71</v>
      </c>
      <c r="AK4" s="127"/>
      <c r="AL4" s="53"/>
      <c r="AM4" s="45"/>
      <c r="AN4" s="51"/>
      <c r="AO4" s="116"/>
      <c r="AP4" s="113"/>
      <c r="AQ4" s="117"/>
    </row>
    <row r="5" spans="1:43" ht="19.5" thickBot="1">
      <c r="A5" s="118"/>
      <c r="B5" s="119" t="s">
        <v>24</v>
      </c>
      <c r="C5" s="119"/>
      <c r="D5" s="124">
        <f>SUM(D4)</f>
        <v>0</v>
      </c>
      <c r="E5" s="119"/>
      <c r="F5" s="120">
        <f>SUM(F4)</f>
        <v>2100</v>
      </c>
      <c r="G5" s="121"/>
      <c r="H5" s="122">
        <f>SUM(H4)</f>
        <v>17000</v>
      </c>
      <c r="I5" s="121"/>
      <c r="J5" s="122">
        <f>SUM(J4)</f>
        <v>700</v>
      </c>
      <c r="K5" s="120"/>
      <c r="L5" s="122">
        <f>SUM(L4)</f>
        <v>3000</v>
      </c>
      <c r="M5" s="121"/>
      <c r="N5" s="122">
        <f>SUM(N4)</f>
        <v>5826</v>
      </c>
      <c r="O5" s="123"/>
      <c r="P5" s="122">
        <f>SUM(P4)</f>
        <v>0</v>
      </c>
      <c r="Q5" s="124"/>
      <c r="R5" s="125"/>
      <c r="S5" s="123"/>
      <c r="T5" s="122"/>
      <c r="U5" s="121"/>
      <c r="V5" s="122">
        <f>SUM(V4)</f>
        <v>0</v>
      </c>
      <c r="W5" s="122"/>
      <c r="X5" s="122">
        <f>SUM(X4)</f>
        <v>15500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360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71</v>
      </c>
      <c r="AK5" s="122"/>
      <c r="AL5" s="122">
        <f>SUM(AL4)</f>
        <v>0</v>
      </c>
      <c r="AM5" s="122"/>
      <c r="AN5" s="122">
        <f>SUM(AN4)</f>
        <v>0</v>
      </c>
      <c r="AO5" s="122"/>
      <c r="AP5" s="122">
        <f>SUM(AP4)</f>
        <v>0</v>
      </c>
      <c r="AQ5" s="126">
        <f>SUM(D5:AP5)</f>
        <v>44557</v>
      </c>
    </row>
  </sheetData>
  <mergeCells count="1">
    <mergeCell ref="A2:AQ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Q5"/>
  <sheetViews>
    <sheetView zoomScale="75" zoomScaleNormal="75" workbookViewId="0">
      <selection activeCell="AJ9" sqref="AJ9"/>
    </sheetView>
  </sheetViews>
  <sheetFormatPr defaultRowHeight="18.75"/>
  <cols>
    <col min="1" max="1" width="6.85546875" style="38" customWidth="1"/>
    <col min="2" max="2" width="14.5703125" style="146" customWidth="1"/>
    <col min="3" max="3" width="16.5703125" style="38" customWidth="1"/>
    <col min="4" max="4" width="13.140625" style="38" customWidth="1"/>
    <col min="5" max="5" width="13.140625" style="38" hidden="1" customWidth="1"/>
    <col min="6" max="6" width="11.42578125" style="38" hidden="1" customWidth="1"/>
    <col min="7" max="7" width="12.7109375" style="38" customWidth="1"/>
    <col min="8" max="8" width="13.140625" style="38" customWidth="1"/>
    <col min="9" max="9" width="26.28515625" style="38" customWidth="1"/>
    <col min="10" max="10" width="12.5703125" style="38" customWidth="1"/>
    <col min="11" max="11" width="17.85546875" style="38" customWidth="1"/>
    <col min="12" max="12" width="11.5703125" style="38" customWidth="1"/>
    <col min="13" max="13" width="17.5703125" style="38" customWidth="1"/>
    <col min="14" max="14" width="12.7109375" style="38" customWidth="1"/>
    <col min="15" max="15" width="13" style="38" customWidth="1"/>
    <col min="16" max="16" width="10.42578125" style="38" customWidth="1"/>
    <col min="17" max="17" width="11.28515625" style="38" customWidth="1"/>
    <col min="18" max="18" width="9.140625" style="38"/>
    <col min="19" max="20" width="0" style="38" hidden="1" customWidth="1"/>
    <col min="21" max="21" width="15.5703125" style="38" customWidth="1"/>
    <col min="22" max="22" width="14.85546875" style="38" customWidth="1"/>
    <col min="23" max="23" width="14.7109375" style="38" customWidth="1"/>
    <col min="24" max="24" width="10.85546875" style="38" customWidth="1"/>
    <col min="25" max="28" width="0" style="38" hidden="1" customWidth="1"/>
    <col min="29" max="29" width="14.85546875" style="38" customWidth="1"/>
    <col min="30" max="30" width="12.140625" style="38" customWidth="1"/>
    <col min="31" max="32" width="0" style="38" hidden="1" customWidth="1"/>
    <col min="33" max="33" width="10.28515625" style="38" customWidth="1"/>
    <col min="34" max="34" width="9.140625" style="38"/>
    <col min="35" max="35" width="14.28515625" style="38" customWidth="1"/>
    <col min="36" max="36" width="13.140625" style="38" customWidth="1"/>
    <col min="37" max="38" width="0" style="38" hidden="1" customWidth="1"/>
    <col min="39" max="39" width="13.7109375" style="38" customWidth="1"/>
    <col min="40" max="40" width="15.28515625" style="38" customWidth="1"/>
    <col min="41" max="41" width="15.28515625" style="38" hidden="1" customWidth="1"/>
    <col min="42" max="42" width="0" style="38" hidden="1" customWidth="1"/>
    <col min="43" max="43" width="14.85546875" style="38" customWidth="1"/>
    <col min="44" max="16384" width="9.140625" style="38"/>
  </cols>
  <sheetData>
    <row r="2" spans="1:43" ht="39" customHeight="1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2"/>
    </row>
    <row r="3" spans="1:43" ht="77.25" customHeight="1" thickBot="1">
      <c r="A3" s="39" t="s">
        <v>1</v>
      </c>
      <c r="B3" s="40" t="s">
        <v>2</v>
      </c>
      <c r="C3" s="40" t="s">
        <v>58</v>
      </c>
      <c r="D3" s="41" t="s">
        <v>4</v>
      </c>
      <c r="E3" s="40" t="s">
        <v>47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10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65</v>
      </c>
      <c r="AN3" s="42" t="s">
        <v>4</v>
      </c>
      <c r="AO3" s="46" t="s">
        <v>20</v>
      </c>
      <c r="AP3" s="42" t="s">
        <v>4</v>
      </c>
      <c r="AQ3" s="47" t="s">
        <v>21</v>
      </c>
    </row>
    <row r="4" spans="1:43" s="63" customFormat="1" ht="251.25" customHeight="1" thickBot="1">
      <c r="A4" s="104">
        <v>1</v>
      </c>
      <c r="B4" s="105" t="s">
        <v>94</v>
      </c>
      <c r="C4" s="45" t="s">
        <v>95</v>
      </c>
      <c r="D4" s="128">
        <v>3240</v>
      </c>
      <c r="E4" s="50"/>
      <c r="F4" s="53"/>
      <c r="G4" s="45" t="s">
        <v>100</v>
      </c>
      <c r="H4" s="53">
        <f>8793+11997.66</f>
        <v>20790.66</v>
      </c>
      <c r="I4" s="143" t="s">
        <v>104</v>
      </c>
      <c r="J4" s="55">
        <f>300+1098.96+509.04+308+92.57+90+1270.95+940.08+1127.76+555.5+500+300</f>
        <v>7092.8600000000006</v>
      </c>
      <c r="K4" s="45" t="s">
        <v>103</v>
      </c>
      <c r="L4" s="128">
        <f>6000+2092.6</f>
        <v>8092.6</v>
      </c>
      <c r="M4" s="45" t="s">
        <v>98</v>
      </c>
      <c r="N4" s="53">
        <f>3200+1600+1810+2900+19000</f>
        <v>28510</v>
      </c>
      <c r="O4" s="50" t="s">
        <v>97</v>
      </c>
      <c r="P4" s="53">
        <f>150+134.92</f>
        <v>284.91999999999996</v>
      </c>
      <c r="Q4" s="129" t="s">
        <v>101</v>
      </c>
      <c r="R4" s="51">
        <v>658.36</v>
      </c>
      <c r="S4" s="112"/>
      <c r="T4" s="113"/>
      <c r="U4" s="45" t="s">
        <v>102</v>
      </c>
      <c r="V4" s="53">
        <f>566+1188.55+100</f>
        <v>1854.55</v>
      </c>
      <c r="W4" s="50" t="s">
        <v>55</v>
      </c>
      <c r="X4" s="51">
        <f>900+750</f>
        <v>1650</v>
      </c>
      <c r="Y4" s="109"/>
      <c r="Z4" s="108"/>
      <c r="AA4" s="127"/>
      <c r="AB4" s="55"/>
      <c r="AC4" s="143" t="s">
        <v>99</v>
      </c>
      <c r="AD4" s="144">
        <f>220.6+325+68.6+700</f>
        <v>1314.2</v>
      </c>
      <c r="AE4" s="114"/>
      <c r="AF4" s="115"/>
      <c r="AG4" s="50" t="s">
        <v>44</v>
      </c>
      <c r="AH4" s="51">
        <v>348.4</v>
      </c>
      <c r="AI4" s="50" t="s">
        <v>90</v>
      </c>
      <c r="AJ4" s="144">
        <f>881.44+794.17</f>
        <v>1675.6100000000001</v>
      </c>
      <c r="AK4" s="127"/>
      <c r="AL4" s="53"/>
      <c r="AM4" s="45" t="s">
        <v>96</v>
      </c>
      <c r="AN4" s="53">
        <f>200+16.8+245+364.5+6269.7</f>
        <v>7096</v>
      </c>
      <c r="AO4" s="116"/>
      <c r="AP4" s="113"/>
      <c r="AQ4" s="117"/>
    </row>
    <row r="5" spans="1:43" ht="44.25" customHeight="1" thickBot="1">
      <c r="A5" s="118"/>
      <c r="B5" s="145" t="s">
        <v>24</v>
      </c>
      <c r="C5" s="119"/>
      <c r="D5" s="124">
        <f>SUM(D4)</f>
        <v>3240</v>
      </c>
      <c r="E5" s="119"/>
      <c r="F5" s="120">
        <f>SUM(F4)</f>
        <v>0</v>
      </c>
      <c r="G5" s="121"/>
      <c r="H5" s="122">
        <f>SUM(H4)</f>
        <v>20790.66</v>
      </c>
      <c r="I5" s="121"/>
      <c r="J5" s="122">
        <f>SUM(J4)</f>
        <v>7092.8600000000006</v>
      </c>
      <c r="K5" s="120"/>
      <c r="L5" s="122">
        <f>SUM(L4)</f>
        <v>8092.6</v>
      </c>
      <c r="M5" s="121"/>
      <c r="N5" s="122">
        <f>SUM(N4)</f>
        <v>28510</v>
      </c>
      <c r="O5" s="123"/>
      <c r="P5" s="122">
        <f>SUM(P4)</f>
        <v>284.91999999999996</v>
      </c>
      <c r="Q5" s="124"/>
      <c r="R5" s="125">
        <f>SUM(R4)</f>
        <v>658.36</v>
      </c>
      <c r="S5" s="123"/>
      <c r="T5" s="122"/>
      <c r="U5" s="121"/>
      <c r="V5" s="122">
        <f>SUM(V4)</f>
        <v>1854.55</v>
      </c>
      <c r="W5" s="122"/>
      <c r="X5" s="122">
        <f>SUM(X4)</f>
        <v>1650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1314.2</v>
      </c>
      <c r="AE5" s="122"/>
      <c r="AF5" s="122">
        <f>SUM(AF4)</f>
        <v>0</v>
      </c>
      <c r="AG5" s="122"/>
      <c r="AH5" s="122">
        <f>SUM(AH4)</f>
        <v>348.4</v>
      </c>
      <c r="AI5" s="122"/>
      <c r="AJ5" s="122">
        <f>SUM(AJ4)</f>
        <v>1675.6100000000001</v>
      </c>
      <c r="AK5" s="122"/>
      <c r="AL5" s="122">
        <f>SUM(AL4)</f>
        <v>0</v>
      </c>
      <c r="AM5" s="122"/>
      <c r="AN5" s="122">
        <f>SUM(AN4)</f>
        <v>7096</v>
      </c>
      <c r="AO5" s="122"/>
      <c r="AP5" s="122">
        <f>SUM(AP4)</f>
        <v>0</v>
      </c>
      <c r="AQ5" s="126">
        <f>SUM(D5:AP5)</f>
        <v>82608.159999999989</v>
      </c>
    </row>
  </sheetData>
  <mergeCells count="1">
    <mergeCell ref="A2:AQ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4"/>
  <sheetViews>
    <sheetView zoomScale="75" zoomScaleNormal="75" workbookViewId="0">
      <selection activeCell="AS6" sqref="AS6"/>
    </sheetView>
  </sheetViews>
  <sheetFormatPr defaultRowHeight="18.75"/>
  <cols>
    <col min="1" max="1" width="6.85546875" style="38" customWidth="1"/>
    <col min="2" max="2" width="16" style="38" customWidth="1"/>
    <col min="3" max="3" width="11.5703125" style="38" customWidth="1"/>
    <col min="4" max="4" width="14.28515625" style="38" customWidth="1"/>
    <col min="5" max="5" width="14.7109375" style="38" customWidth="1"/>
    <col min="6" max="6" width="14.28515625" style="38" customWidth="1"/>
    <col min="7" max="7" width="16.5703125" style="38" customWidth="1"/>
    <col min="8" max="8" width="14.42578125" style="38" customWidth="1"/>
    <col min="9" max="9" width="21.140625" style="38" customWidth="1"/>
    <col min="10" max="10" width="15.85546875" style="38" customWidth="1"/>
    <col min="11" max="11" width="16" style="38" customWidth="1"/>
    <col min="12" max="12" width="15.140625" style="38" customWidth="1"/>
    <col min="13" max="13" width="20.85546875" style="38" customWidth="1"/>
    <col min="14" max="14" width="14.42578125" style="38" customWidth="1"/>
    <col min="15" max="20" width="0" style="38" hidden="1" customWidth="1"/>
    <col min="21" max="21" width="13" style="38" customWidth="1"/>
    <col min="22" max="22" width="13.28515625" style="38" customWidth="1"/>
    <col min="23" max="26" width="0" style="38" hidden="1" customWidth="1"/>
    <col min="27" max="27" width="16.28515625" style="38" customWidth="1"/>
    <col min="28" max="28" width="15.140625" style="38" customWidth="1"/>
    <col min="29" max="42" width="0" style="38" hidden="1" customWidth="1"/>
    <col min="43" max="43" width="14.42578125" style="38" customWidth="1"/>
    <col min="44" max="16384" width="9.140625" style="38"/>
  </cols>
  <sheetData>
    <row r="1" spans="1:43" ht="39" customHeight="1" thickBot="1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2"/>
    </row>
    <row r="2" spans="1:43" ht="62.25" customHeight="1" thickBot="1">
      <c r="A2" s="39" t="s">
        <v>1</v>
      </c>
      <c r="B2" s="40" t="s">
        <v>2</v>
      </c>
      <c r="C2" s="40" t="s">
        <v>58</v>
      </c>
      <c r="D2" s="41" t="s">
        <v>4</v>
      </c>
      <c r="E2" s="40" t="s">
        <v>47</v>
      </c>
      <c r="F2" s="41" t="s">
        <v>4</v>
      </c>
      <c r="G2" s="41" t="s">
        <v>3</v>
      </c>
      <c r="H2" s="42" t="s">
        <v>4</v>
      </c>
      <c r="I2" s="40" t="s">
        <v>5</v>
      </c>
      <c r="J2" s="42" t="s">
        <v>4</v>
      </c>
      <c r="K2" s="43" t="s">
        <v>6</v>
      </c>
      <c r="L2" s="42" t="s">
        <v>4</v>
      </c>
      <c r="M2" s="41" t="s">
        <v>7</v>
      </c>
      <c r="N2" s="42" t="s">
        <v>4</v>
      </c>
      <c r="O2" s="40" t="s">
        <v>8</v>
      </c>
      <c r="P2" s="41" t="s">
        <v>4</v>
      </c>
      <c r="Q2" s="43" t="s">
        <v>9</v>
      </c>
      <c r="R2" s="42" t="s">
        <v>4</v>
      </c>
      <c r="S2" s="43" t="s">
        <v>10</v>
      </c>
      <c r="T2" s="42" t="s">
        <v>4</v>
      </c>
      <c r="U2" s="43" t="s">
        <v>11</v>
      </c>
      <c r="V2" s="44" t="s">
        <v>4</v>
      </c>
      <c r="W2" s="43" t="s">
        <v>12</v>
      </c>
      <c r="X2" s="42" t="s">
        <v>4</v>
      </c>
      <c r="Y2" s="43" t="s">
        <v>13</v>
      </c>
      <c r="Z2" s="42" t="s">
        <v>4</v>
      </c>
      <c r="AA2" s="43" t="s">
        <v>14</v>
      </c>
      <c r="AB2" s="42" t="s">
        <v>4</v>
      </c>
      <c r="AC2" s="43" t="s">
        <v>15</v>
      </c>
      <c r="AD2" s="42" t="s">
        <v>4</v>
      </c>
      <c r="AE2" s="43" t="s">
        <v>16</v>
      </c>
      <c r="AF2" s="42" t="s">
        <v>4</v>
      </c>
      <c r="AG2" s="43" t="s">
        <v>44</v>
      </c>
      <c r="AH2" s="42" t="s">
        <v>4</v>
      </c>
      <c r="AI2" s="42" t="s">
        <v>18</v>
      </c>
      <c r="AJ2" s="42" t="s">
        <v>4</v>
      </c>
      <c r="AK2" s="43" t="s">
        <v>19</v>
      </c>
      <c r="AL2" s="42" t="s">
        <v>4</v>
      </c>
      <c r="AM2" s="103" t="s">
        <v>65</v>
      </c>
      <c r="AN2" s="42" t="s">
        <v>4</v>
      </c>
      <c r="AO2" s="46" t="s">
        <v>20</v>
      </c>
      <c r="AP2" s="42" t="s">
        <v>4</v>
      </c>
      <c r="AQ2" s="47" t="s">
        <v>21</v>
      </c>
    </row>
    <row r="3" spans="1:43" s="63" customFormat="1" ht="286.5" customHeight="1" thickBot="1">
      <c r="A3" s="104">
        <v>1</v>
      </c>
      <c r="B3" s="105" t="s">
        <v>105</v>
      </c>
      <c r="C3" s="50" t="s">
        <v>84</v>
      </c>
      <c r="D3" s="51">
        <v>16124</v>
      </c>
      <c r="E3" s="50" t="s">
        <v>111</v>
      </c>
      <c r="F3" s="51">
        <v>5036</v>
      </c>
      <c r="G3" s="50" t="s">
        <v>106</v>
      </c>
      <c r="H3" s="51">
        <f>4200+2794.9+1300</f>
        <v>8294.9</v>
      </c>
      <c r="I3" s="50" t="s">
        <v>107</v>
      </c>
      <c r="J3" s="51">
        <f>2798.4+26.99+100+21.22+223.76+8691.5+80</f>
        <v>11941.869999999999</v>
      </c>
      <c r="K3" s="50" t="s">
        <v>108</v>
      </c>
      <c r="L3" s="51">
        <f>145+10470.98</f>
        <v>10615.98</v>
      </c>
      <c r="M3" s="50" t="s">
        <v>112</v>
      </c>
      <c r="N3" s="51">
        <f>3500+2637+1110+300+1200+6600+2480+1846+18190</f>
        <v>37863</v>
      </c>
      <c r="O3" s="50"/>
      <c r="P3" s="53"/>
      <c r="Q3" s="129"/>
      <c r="R3" s="51"/>
      <c r="S3" s="112"/>
      <c r="T3" s="113"/>
      <c r="U3" s="50" t="s">
        <v>109</v>
      </c>
      <c r="V3" s="51">
        <v>12063</v>
      </c>
      <c r="W3" s="50"/>
      <c r="X3" s="51"/>
      <c r="Y3" s="109"/>
      <c r="Z3" s="108"/>
      <c r="AA3" s="50" t="s">
        <v>110</v>
      </c>
      <c r="AB3" s="51">
        <f>1400+199</f>
        <v>1599</v>
      </c>
      <c r="AC3" s="143"/>
      <c r="AD3" s="144"/>
      <c r="AE3" s="114"/>
      <c r="AF3" s="115"/>
      <c r="AG3" s="50"/>
      <c r="AH3" s="51"/>
      <c r="AI3" s="50"/>
      <c r="AJ3" s="144"/>
      <c r="AK3" s="127"/>
      <c r="AL3" s="53"/>
      <c r="AM3" s="45"/>
      <c r="AN3" s="53"/>
      <c r="AO3" s="116"/>
      <c r="AP3" s="113"/>
      <c r="AQ3" s="117"/>
    </row>
    <row r="4" spans="1:43" ht="44.25" customHeight="1" thickBot="1">
      <c r="A4" s="118"/>
      <c r="B4" s="145" t="s">
        <v>24</v>
      </c>
      <c r="C4" s="119"/>
      <c r="D4" s="124">
        <f>SUM(D3)</f>
        <v>16124</v>
      </c>
      <c r="E4" s="119"/>
      <c r="F4" s="120">
        <f>SUM(F3)</f>
        <v>5036</v>
      </c>
      <c r="G4" s="121"/>
      <c r="H4" s="122">
        <f>SUM(H3)</f>
        <v>8294.9</v>
      </c>
      <c r="I4" s="121"/>
      <c r="J4" s="122">
        <f>SUM(J3)</f>
        <v>11941.869999999999</v>
      </c>
      <c r="K4" s="120"/>
      <c r="L4" s="122">
        <f>SUM(L3)</f>
        <v>10615.98</v>
      </c>
      <c r="M4" s="121"/>
      <c r="N4" s="122">
        <f>SUM(N3)</f>
        <v>37863</v>
      </c>
      <c r="O4" s="123"/>
      <c r="P4" s="122">
        <f>SUM(P3)</f>
        <v>0</v>
      </c>
      <c r="Q4" s="124"/>
      <c r="R4" s="125">
        <f>SUM(R3)</f>
        <v>0</v>
      </c>
      <c r="S4" s="123"/>
      <c r="T4" s="122"/>
      <c r="U4" s="121"/>
      <c r="V4" s="122">
        <f>SUM(V3)</f>
        <v>12063</v>
      </c>
      <c r="W4" s="122"/>
      <c r="X4" s="122">
        <f>SUM(X3)</f>
        <v>0</v>
      </c>
      <c r="Y4" s="122"/>
      <c r="Z4" s="122">
        <f>SUM(Z3)</f>
        <v>0</v>
      </c>
      <c r="AA4" s="122"/>
      <c r="AB4" s="122">
        <f>SUM(AB3)</f>
        <v>1599</v>
      </c>
      <c r="AC4" s="122"/>
      <c r="AD4" s="122">
        <f>SUM(AD3)</f>
        <v>0</v>
      </c>
      <c r="AE4" s="122"/>
      <c r="AF4" s="122">
        <f>SUM(AF3)</f>
        <v>0</v>
      </c>
      <c r="AG4" s="122"/>
      <c r="AH4" s="122">
        <f>SUM(AH3)</f>
        <v>0</v>
      </c>
      <c r="AI4" s="122"/>
      <c r="AJ4" s="122">
        <f>SUM(AJ3)</f>
        <v>0</v>
      </c>
      <c r="AK4" s="122"/>
      <c r="AL4" s="122">
        <f>SUM(AL3)</f>
        <v>0</v>
      </c>
      <c r="AM4" s="122"/>
      <c r="AN4" s="122">
        <f>SUM(AN3)</f>
        <v>0</v>
      </c>
      <c r="AO4" s="122"/>
      <c r="AP4" s="122">
        <f>SUM(AP3)</f>
        <v>0</v>
      </c>
      <c r="AQ4" s="126">
        <f>SUM(D4:AP4)</f>
        <v>103537.75</v>
      </c>
    </row>
  </sheetData>
  <mergeCells count="1">
    <mergeCell ref="A1:AQ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Q5"/>
  <sheetViews>
    <sheetView zoomScale="75" zoomScaleNormal="75" workbookViewId="0">
      <selection activeCell="M11" sqref="M11"/>
    </sheetView>
  </sheetViews>
  <sheetFormatPr defaultRowHeight="18.75"/>
  <cols>
    <col min="1" max="1" width="6.42578125" style="38" customWidth="1"/>
    <col min="2" max="2" width="12.42578125" style="38" customWidth="1"/>
    <col min="3" max="3" width="19.140625" style="38" customWidth="1"/>
    <col min="4" max="4" width="11.42578125" style="38" customWidth="1"/>
    <col min="5" max="5" width="17.140625" style="38" customWidth="1"/>
    <col min="6" max="6" width="10.85546875" style="38" customWidth="1"/>
    <col min="7" max="7" width="16.28515625" style="38" customWidth="1"/>
    <col min="8" max="8" width="11.42578125" style="38" bestFit="1" customWidth="1"/>
    <col min="9" max="12" width="0" style="38" hidden="1" customWidth="1"/>
    <col min="13" max="13" width="16" style="38" customWidth="1"/>
    <col min="14" max="14" width="14.28515625" style="38" customWidth="1"/>
    <col min="15" max="22" width="0" style="38" hidden="1" customWidth="1"/>
    <col min="23" max="23" width="12.85546875" style="38" customWidth="1"/>
    <col min="24" max="24" width="9.140625" style="38" customWidth="1"/>
    <col min="25" max="30" width="0" style="38" hidden="1" customWidth="1"/>
    <col min="31" max="31" width="15" style="38" customWidth="1"/>
    <col min="32" max="32" width="13.42578125" style="38" customWidth="1"/>
    <col min="33" max="42" width="0" style="38" hidden="1" customWidth="1"/>
    <col min="43" max="43" width="18.28515625" style="38" customWidth="1"/>
    <col min="44" max="16384" width="9.140625" style="38"/>
  </cols>
  <sheetData>
    <row r="2" spans="1:43" ht="39" customHeight="1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2"/>
    </row>
    <row r="3" spans="1:43" ht="62.25" customHeight="1" thickBot="1">
      <c r="A3" s="39" t="s">
        <v>1</v>
      </c>
      <c r="B3" s="40" t="s">
        <v>2</v>
      </c>
      <c r="C3" s="40" t="s">
        <v>58</v>
      </c>
      <c r="D3" s="41" t="s">
        <v>4</v>
      </c>
      <c r="E3" s="40" t="s">
        <v>118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10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65</v>
      </c>
      <c r="AN3" s="42" t="s">
        <v>4</v>
      </c>
      <c r="AO3" s="46" t="s">
        <v>20</v>
      </c>
      <c r="AP3" s="42" t="s">
        <v>4</v>
      </c>
      <c r="AQ3" s="47" t="s">
        <v>21</v>
      </c>
    </row>
    <row r="4" spans="1:43" s="63" customFormat="1" ht="248.25" customHeight="1" thickBot="1">
      <c r="A4" s="104">
        <v>1</v>
      </c>
      <c r="B4" s="105" t="s">
        <v>113</v>
      </c>
      <c r="C4" s="134" t="s">
        <v>115</v>
      </c>
      <c r="D4" s="51">
        <v>6454</v>
      </c>
      <c r="E4" s="50" t="s">
        <v>117</v>
      </c>
      <c r="F4" s="51">
        <v>2000</v>
      </c>
      <c r="G4" s="50" t="s">
        <v>100</v>
      </c>
      <c r="H4" s="51">
        <v>15300</v>
      </c>
      <c r="I4" s="50"/>
      <c r="J4" s="51"/>
      <c r="K4" s="50"/>
      <c r="L4" s="51"/>
      <c r="M4" s="129" t="s">
        <v>119</v>
      </c>
      <c r="N4" s="51">
        <f>5000+13320</f>
        <v>18320</v>
      </c>
      <c r="O4" s="50"/>
      <c r="P4" s="53"/>
      <c r="Q4" s="129"/>
      <c r="R4" s="51"/>
      <c r="S4" s="112"/>
      <c r="T4" s="113"/>
      <c r="U4" s="50"/>
      <c r="V4" s="51"/>
      <c r="W4" s="50" t="s">
        <v>116</v>
      </c>
      <c r="X4" s="51">
        <v>612</v>
      </c>
      <c r="Y4" s="109"/>
      <c r="Z4" s="108"/>
      <c r="AA4" s="50"/>
      <c r="AB4" s="51"/>
      <c r="AC4" s="143"/>
      <c r="AD4" s="144"/>
      <c r="AE4" s="129" t="s">
        <v>114</v>
      </c>
      <c r="AF4" s="51">
        <v>12460</v>
      </c>
      <c r="AG4" s="50"/>
      <c r="AH4" s="51"/>
      <c r="AI4" s="50"/>
      <c r="AJ4" s="144"/>
      <c r="AK4" s="127"/>
      <c r="AL4" s="53"/>
      <c r="AM4" s="45"/>
      <c r="AN4" s="53"/>
      <c r="AO4" s="116"/>
      <c r="AP4" s="113"/>
      <c r="AQ4" s="117"/>
    </row>
    <row r="5" spans="1:43" ht="44.25" customHeight="1" thickBot="1">
      <c r="A5" s="118"/>
      <c r="B5" s="145" t="s">
        <v>24</v>
      </c>
      <c r="C5" s="119"/>
      <c r="D5" s="124">
        <f>SUM(D4)</f>
        <v>6454</v>
      </c>
      <c r="E5" s="119"/>
      <c r="F5" s="120">
        <f>SUM(F4)</f>
        <v>2000</v>
      </c>
      <c r="G5" s="121"/>
      <c r="H5" s="122">
        <f>SUM(H4)</f>
        <v>15300</v>
      </c>
      <c r="I5" s="121"/>
      <c r="J5" s="122">
        <f>SUM(J4)</f>
        <v>0</v>
      </c>
      <c r="K5" s="120"/>
      <c r="L5" s="122">
        <f>SUM(L4)</f>
        <v>0</v>
      </c>
      <c r="M5" s="121"/>
      <c r="N5" s="122">
        <f>SUM(N4)</f>
        <v>18320</v>
      </c>
      <c r="O5" s="123"/>
      <c r="P5" s="122">
        <f>SUM(P4)</f>
        <v>0</v>
      </c>
      <c r="Q5" s="124"/>
      <c r="R5" s="125">
        <f>SUM(R4)</f>
        <v>0</v>
      </c>
      <c r="S5" s="123"/>
      <c r="T5" s="122"/>
      <c r="U5" s="121"/>
      <c r="V5" s="122">
        <f>SUM(V4)</f>
        <v>0</v>
      </c>
      <c r="W5" s="122"/>
      <c r="X5" s="122">
        <f>SUM(X4)</f>
        <v>612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0</v>
      </c>
      <c r="AE5" s="122"/>
      <c r="AF5" s="122">
        <f>SUM(AF4)</f>
        <v>12460</v>
      </c>
      <c r="AG5" s="122"/>
      <c r="AH5" s="122">
        <f>SUM(AH4)</f>
        <v>0</v>
      </c>
      <c r="AI5" s="122"/>
      <c r="AJ5" s="122">
        <f>SUM(AJ4)</f>
        <v>0</v>
      </c>
      <c r="AK5" s="122"/>
      <c r="AL5" s="122">
        <f>SUM(AL4)</f>
        <v>0</v>
      </c>
      <c r="AM5" s="122"/>
      <c r="AN5" s="122">
        <f>SUM(AN4)</f>
        <v>0</v>
      </c>
      <c r="AO5" s="122"/>
      <c r="AP5" s="122">
        <f>SUM(AP4)</f>
        <v>0</v>
      </c>
      <c r="AQ5" s="126">
        <f>SUM(D5:AP5)</f>
        <v>55146</v>
      </c>
    </row>
  </sheetData>
  <mergeCells count="1">
    <mergeCell ref="A2:AQ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Q5"/>
  <sheetViews>
    <sheetView zoomScale="75" zoomScaleNormal="75" workbookViewId="0">
      <selection activeCell="AR7" sqref="AR7"/>
    </sheetView>
  </sheetViews>
  <sheetFormatPr defaultRowHeight="18.75"/>
  <cols>
    <col min="1" max="1" width="9.140625" style="38"/>
    <col min="2" max="2" width="17.7109375" style="38" customWidth="1"/>
    <col min="3" max="11" width="9.140625" style="38"/>
    <col min="12" max="37" width="0" style="38" hidden="1" customWidth="1"/>
    <col min="38" max="16384" width="9.140625" style="38"/>
  </cols>
  <sheetData>
    <row r="2" spans="1:43" ht="39" customHeight="1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2"/>
    </row>
    <row r="3" spans="1:43" ht="62.25" customHeight="1" thickBot="1">
      <c r="A3" s="39" t="s">
        <v>1</v>
      </c>
      <c r="B3" s="40" t="s">
        <v>2</v>
      </c>
      <c r="C3" s="40" t="s">
        <v>58</v>
      </c>
      <c r="D3" s="41" t="s">
        <v>4</v>
      </c>
      <c r="E3" s="40" t="s">
        <v>118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10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65</v>
      </c>
      <c r="AN3" s="42" t="s">
        <v>4</v>
      </c>
      <c r="AO3" s="46" t="s">
        <v>20</v>
      </c>
      <c r="AP3" s="42" t="s">
        <v>4</v>
      </c>
      <c r="AQ3" s="47" t="s">
        <v>21</v>
      </c>
    </row>
    <row r="4" spans="1:43" s="63" customFormat="1" ht="248.25" customHeight="1" thickBot="1">
      <c r="A4" s="104">
        <v>1</v>
      </c>
      <c r="B4" s="105" t="s">
        <v>120</v>
      </c>
      <c r="C4" s="134"/>
      <c r="D4" s="51"/>
      <c r="E4" s="50"/>
      <c r="F4" s="51"/>
      <c r="G4" s="50"/>
      <c r="H4" s="51"/>
      <c r="I4" s="50"/>
      <c r="J4" s="51"/>
      <c r="K4" s="50"/>
      <c r="L4" s="51"/>
      <c r="M4" s="129"/>
      <c r="N4" s="51"/>
      <c r="O4" s="50"/>
      <c r="P4" s="53"/>
      <c r="Q4" s="129"/>
      <c r="R4" s="51"/>
      <c r="S4" s="112"/>
      <c r="T4" s="113"/>
      <c r="U4" s="50"/>
      <c r="V4" s="51"/>
      <c r="W4" s="50"/>
      <c r="X4" s="51"/>
      <c r="Y4" s="109"/>
      <c r="Z4" s="108"/>
      <c r="AA4" s="50"/>
      <c r="AB4" s="51"/>
      <c r="AC4" s="143"/>
      <c r="AD4" s="144"/>
      <c r="AE4" s="129"/>
      <c r="AF4" s="51"/>
      <c r="AG4" s="50"/>
      <c r="AH4" s="51"/>
      <c r="AI4" s="50"/>
      <c r="AJ4" s="144"/>
      <c r="AK4" s="127"/>
      <c r="AL4" s="53"/>
      <c r="AM4" s="45"/>
      <c r="AN4" s="53"/>
      <c r="AO4" s="116"/>
      <c r="AP4" s="113"/>
      <c r="AQ4" s="117"/>
    </row>
    <row r="5" spans="1:43" ht="44.25" customHeight="1" thickBot="1">
      <c r="A5" s="118"/>
      <c r="B5" s="145" t="s">
        <v>24</v>
      </c>
      <c r="C5" s="119"/>
      <c r="D5" s="124">
        <f>SUM(D4)</f>
        <v>0</v>
      </c>
      <c r="E5" s="119"/>
      <c r="F5" s="120">
        <f>SUM(F4)</f>
        <v>0</v>
      </c>
      <c r="G5" s="121"/>
      <c r="H5" s="122">
        <f>SUM(H4)</f>
        <v>0</v>
      </c>
      <c r="I5" s="121"/>
      <c r="J5" s="122">
        <f>SUM(J4)</f>
        <v>0</v>
      </c>
      <c r="K5" s="120"/>
      <c r="L5" s="122">
        <f>SUM(L4)</f>
        <v>0</v>
      </c>
      <c r="M5" s="121"/>
      <c r="N5" s="122">
        <f>SUM(N4)</f>
        <v>0</v>
      </c>
      <c r="O5" s="123"/>
      <c r="P5" s="122">
        <f>SUM(P4)</f>
        <v>0</v>
      </c>
      <c r="Q5" s="124"/>
      <c r="R5" s="125">
        <f>SUM(R4)</f>
        <v>0</v>
      </c>
      <c r="S5" s="123"/>
      <c r="T5" s="122">
        <f>SUM(T4)</f>
        <v>0</v>
      </c>
      <c r="U5" s="121"/>
      <c r="V5" s="122">
        <f>SUM(V4)</f>
        <v>0</v>
      </c>
      <c r="W5" s="122"/>
      <c r="X5" s="122">
        <f>SUM(X4)</f>
        <v>0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0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0</v>
      </c>
      <c r="AK5" s="122"/>
      <c r="AL5" s="122">
        <f>SUM(AL4)</f>
        <v>0</v>
      </c>
      <c r="AM5" s="122"/>
      <c r="AN5" s="122">
        <f>SUM(AN4)</f>
        <v>0</v>
      </c>
      <c r="AO5" s="122"/>
      <c r="AP5" s="122">
        <f>SUM(AP4)</f>
        <v>0</v>
      </c>
      <c r="AQ5" s="126">
        <f>SUM(D5:AP5)</f>
        <v>0</v>
      </c>
    </row>
  </sheetData>
  <mergeCells count="1">
    <mergeCell ref="A2:AQ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5"/>
  <sheetViews>
    <sheetView zoomScale="75" zoomScaleNormal="75" workbookViewId="0">
      <selection activeCell="O11" sqref="O11"/>
    </sheetView>
  </sheetViews>
  <sheetFormatPr defaultRowHeight="15"/>
  <cols>
    <col min="1" max="1" width="9.140625" style="147"/>
    <col min="2" max="2" width="25.28515625" style="147" customWidth="1"/>
    <col min="3" max="3" width="17.85546875" style="147" customWidth="1"/>
    <col min="4" max="4" width="13.5703125" style="147" customWidth="1"/>
    <col min="5" max="12" width="0" style="147" hidden="1" customWidth="1"/>
    <col min="13" max="13" width="16" style="147" customWidth="1"/>
    <col min="14" max="14" width="12.42578125" style="147" customWidth="1"/>
    <col min="15" max="15" width="13.5703125" style="147" customWidth="1"/>
    <col min="16" max="16" width="11.85546875" style="147" customWidth="1"/>
    <col min="17" max="21" width="0" style="147" hidden="1" customWidth="1"/>
    <col min="22" max="22" width="0.42578125" style="147" hidden="1" customWidth="1"/>
    <col min="23" max="23" width="15.7109375" style="147" customWidth="1"/>
    <col min="24" max="24" width="13.85546875" style="147" customWidth="1"/>
    <col min="25" max="36" width="0" style="147" hidden="1" customWidth="1"/>
    <col min="37" max="37" width="21" style="147" customWidth="1"/>
    <col min="38" max="38" width="17.85546875" style="147" customWidth="1"/>
    <col min="39" max="42" width="0" style="147" hidden="1" customWidth="1"/>
    <col min="43" max="43" width="20.42578125" style="147" customWidth="1"/>
    <col min="44" max="16384" width="9.140625" style="147"/>
  </cols>
  <sheetData>
    <row r="1" spans="1:43" ht="12" customHeight="1"/>
    <row r="2" spans="1:43" s="38" customFormat="1" ht="39" customHeight="1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2"/>
    </row>
    <row r="3" spans="1:43" s="38" customFormat="1" ht="62.25" customHeight="1" thickBot="1">
      <c r="A3" s="39" t="s">
        <v>1</v>
      </c>
      <c r="B3" s="40" t="s">
        <v>2</v>
      </c>
      <c r="C3" s="40" t="s">
        <v>58</v>
      </c>
      <c r="D3" s="41" t="s">
        <v>4</v>
      </c>
      <c r="E3" s="40" t="s">
        <v>118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10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65</v>
      </c>
      <c r="AN3" s="42" t="s">
        <v>4</v>
      </c>
      <c r="AO3" s="46" t="s">
        <v>20</v>
      </c>
      <c r="AP3" s="42" t="s">
        <v>4</v>
      </c>
      <c r="AQ3" s="47" t="s">
        <v>21</v>
      </c>
    </row>
    <row r="4" spans="1:43" s="63" customFormat="1" ht="157.5" customHeight="1" thickBot="1">
      <c r="A4" s="104">
        <v>1</v>
      </c>
      <c r="B4" s="105" t="s">
        <v>121</v>
      </c>
      <c r="C4" s="148" t="s">
        <v>84</v>
      </c>
      <c r="D4" s="53">
        <v>6300</v>
      </c>
      <c r="E4" s="50"/>
      <c r="F4" s="51"/>
      <c r="G4" s="50"/>
      <c r="H4" s="51"/>
      <c r="I4" s="50"/>
      <c r="J4" s="51"/>
      <c r="K4" s="50"/>
      <c r="L4" s="51"/>
      <c r="M4" s="134" t="s">
        <v>123</v>
      </c>
      <c r="N4" s="53">
        <v>600</v>
      </c>
      <c r="O4" s="45" t="s">
        <v>54</v>
      </c>
      <c r="P4" s="53">
        <v>40</v>
      </c>
      <c r="Q4" s="129"/>
      <c r="R4" s="51"/>
      <c r="S4" s="112"/>
      <c r="T4" s="113"/>
      <c r="U4" s="50"/>
      <c r="V4" s="51"/>
      <c r="W4" s="134" t="s">
        <v>55</v>
      </c>
      <c r="X4" s="53">
        <v>2376</v>
      </c>
      <c r="Y4" s="109"/>
      <c r="Z4" s="108"/>
      <c r="AA4" s="50"/>
      <c r="AB4" s="51"/>
      <c r="AC4" s="143"/>
      <c r="AD4" s="144"/>
      <c r="AE4" s="129"/>
      <c r="AF4" s="51"/>
      <c r="AG4" s="50"/>
      <c r="AH4" s="51"/>
      <c r="AI4" s="50"/>
      <c r="AJ4" s="144"/>
      <c r="AK4" s="134" t="s">
        <v>122</v>
      </c>
      <c r="AL4" s="53">
        <f>11000+37758</f>
        <v>48758</v>
      </c>
      <c r="AM4" s="45"/>
      <c r="AN4" s="53"/>
      <c r="AO4" s="116"/>
      <c r="AP4" s="113"/>
      <c r="AQ4" s="117"/>
    </row>
    <row r="5" spans="1:43" s="38" customFormat="1" ht="44.25" customHeight="1" thickBot="1">
      <c r="A5" s="118"/>
      <c r="B5" s="145" t="s">
        <v>24</v>
      </c>
      <c r="C5" s="119"/>
      <c r="D5" s="124">
        <f>SUM(D4)</f>
        <v>6300</v>
      </c>
      <c r="E5" s="119"/>
      <c r="F5" s="120">
        <f>SUM(F4)</f>
        <v>0</v>
      </c>
      <c r="G5" s="121"/>
      <c r="H5" s="122">
        <f>SUM(H4)</f>
        <v>0</v>
      </c>
      <c r="I5" s="121"/>
      <c r="J5" s="122">
        <f>SUM(J4)</f>
        <v>0</v>
      </c>
      <c r="K5" s="120"/>
      <c r="L5" s="122">
        <f>SUM(L4)</f>
        <v>0</v>
      </c>
      <c r="M5" s="121"/>
      <c r="N5" s="122">
        <f>SUM(N4)</f>
        <v>600</v>
      </c>
      <c r="O5" s="123"/>
      <c r="P5" s="122">
        <f>SUM(P4)</f>
        <v>40</v>
      </c>
      <c r="Q5" s="124"/>
      <c r="R5" s="125">
        <f>SUM(R4)</f>
        <v>0</v>
      </c>
      <c r="S5" s="123"/>
      <c r="T5" s="122">
        <f>SUM(T4)</f>
        <v>0</v>
      </c>
      <c r="U5" s="121"/>
      <c r="V5" s="122">
        <f>SUM(V4)</f>
        <v>0</v>
      </c>
      <c r="W5" s="122"/>
      <c r="X5" s="122">
        <f>SUM(X4)</f>
        <v>2376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0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0</v>
      </c>
      <c r="AK5" s="122"/>
      <c r="AL5" s="122">
        <f>SUM(AL4)</f>
        <v>48758</v>
      </c>
      <c r="AM5" s="122"/>
      <c r="AN5" s="122">
        <f>SUM(AN4)</f>
        <v>0</v>
      </c>
      <c r="AO5" s="122"/>
      <c r="AP5" s="122">
        <f>SUM(AP4)</f>
        <v>0</v>
      </c>
      <c r="AQ5" s="126">
        <f>SUM(D5:AP5)</f>
        <v>58074</v>
      </c>
    </row>
  </sheetData>
  <mergeCells count="1">
    <mergeCell ref="A2:AQ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Q5"/>
  <sheetViews>
    <sheetView topLeftCell="G1" zoomScale="75" zoomScaleNormal="75" workbookViewId="0">
      <selection activeCell="M12" sqref="M12"/>
    </sheetView>
  </sheetViews>
  <sheetFormatPr defaultRowHeight="18.75"/>
  <cols>
    <col min="1" max="1" width="6.7109375" style="38" customWidth="1"/>
    <col min="2" max="2" width="16.5703125" style="38" customWidth="1"/>
    <col min="3" max="4" width="0" style="38" hidden="1" customWidth="1"/>
    <col min="5" max="5" width="16.5703125" style="38" customWidth="1"/>
    <col min="6" max="6" width="13.5703125" style="38" customWidth="1"/>
    <col min="7" max="7" width="15.7109375" style="38" customWidth="1"/>
    <col min="8" max="8" width="13" style="38" customWidth="1"/>
    <col min="9" max="9" width="17.85546875" style="38" customWidth="1"/>
    <col min="10" max="10" width="14.85546875" style="38" customWidth="1"/>
    <col min="11" max="12" width="0" style="38" hidden="1" customWidth="1"/>
    <col min="13" max="13" width="17.7109375" style="38" customWidth="1"/>
    <col min="14" max="14" width="16.85546875" style="38" customWidth="1"/>
    <col min="15" max="15" width="20.42578125" style="38" customWidth="1"/>
    <col min="16" max="16" width="12.7109375" style="38" customWidth="1"/>
    <col min="17" max="17" width="16.5703125" style="38" customWidth="1"/>
    <col min="18" max="18" width="12.7109375" style="38" customWidth="1"/>
    <col min="19" max="19" width="15.5703125" style="38" customWidth="1"/>
    <col min="20" max="20" width="14.28515625" style="38" customWidth="1"/>
    <col min="21" max="42" width="0" style="38" hidden="1" customWidth="1"/>
    <col min="43" max="43" width="14.42578125" style="38" customWidth="1"/>
    <col min="44" max="16384" width="9.140625" style="38"/>
  </cols>
  <sheetData>
    <row r="2" spans="1:43" ht="39" customHeight="1" thickBot="1">
      <c r="A2" s="149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1"/>
    </row>
    <row r="3" spans="1:43" ht="62.25" customHeight="1" thickBot="1">
      <c r="A3" s="39" t="s">
        <v>1</v>
      </c>
      <c r="B3" s="40" t="s">
        <v>2</v>
      </c>
      <c r="C3" s="40" t="s">
        <v>58</v>
      </c>
      <c r="D3" s="41" t="s">
        <v>4</v>
      </c>
      <c r="E3" s="40" t="s">
        <v>118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127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65</v>
      </c>
      <c r="AN3" s="42" t="s">
        <v>4</v>
      </c>
      <c r="AO3" s="46" t="s">
        <v>20</v>
      </c>
      <c r="AP3" s="42" t="s">
        <v>4</v>
      </c>
      <c r="AQ3" s="47" t="s">
        <v>21</v>
      </c>
    </row>
    <row r="4" spans="1:43" s="63" customFormat="1" ht="170.25" customHeight="1" thickBot="1">
      <c r="A4" s="104">
        <v>1</v>
      </c>
      <c r="B4" s="105" t="s">
        <v>124</v>
      </c>
      <c r="C4" s="148"/>
      <c r="D4" s="53"/>
      <c r="E4" s="50" t="s">
        <v>126</v>
      </c>
      <c r="F4" s="51">
        <f>5755+3615</f>
        <v>9370</v>
      </c>
      <c r="G4" s="50" t="s">
        <v>128</v>
      </c>
      <c r="H4" s="51">
        <v>2014.8</v>
      </c>
      <c r="I4" s="50" t="s">
        <v>132</v>
      </c>
      <c r="J4" s="51">
        <f>23.25+2300+3000</f>
        <v>5323.25</v>
      </c>
      <c r="K4" s="171"/>
      <c r="L4" s="51"/>
      <c r="M4" s="50" t="s">
        <v>129</v>
      </c>
      <c r="N4" s="51">
        <f>25+2374+20+35+25+2500+1200+2800+1500+232+750+90</f>
        <v>11551</v>
      </c>
      <c r="O4" s="50" t="s">
        <v>130</v>
      </c>
      <c r="P4" s="51">
        <f>308.5+125.55+512.05+375.45+284.4+107.4</f>
        <v>1713.35</v>
      </c>
      <c r="Q4" s="50" t="s">
        <v>131</v>
      </c>
      <c r="R4" s="51">
        <v>615.6</v>
      </c>
      <c r="S4" s="131" t="s">
        <v>125</v>
      </c>
      <c r="T4" s="51">
        <f>50+250</f>
        <v>300</v>
      </c>
      <c r="U4" s="50"/>
      <c r="V4" s="51"/>
      <c r="W4" s="134"/>
      <c r="X4" s="53"/>
      <c r="Y4" s="109"/>
      <c r="Z4" s="108"/>
      <c r="AA4" s="50"/>
      <c r="AB4" s="51"/>
      <c r="AC4" s="143"/>
      <c r="AD4" s="144"/>
      <c r="AE4" s="129"/>
      <c r="AF4" s="51"/>
      <c r="AG4" s="50"/>
      <c r="AH4" s="51"/>
      <c r="AI4" s="50"/>
      <c r="AJ4" s="144"/>
      <c r="AK4" s="134"/>
      <c r="AL4" s="53"/>
      <c r="AM4" s="45"/>
      <c r="AN4" s="53"/>
      <c r="AO4" s="116"/>
      <c r="AP4" s="113"/>
      <c r="AQ4" s="117"/>
    </row>
    <row r="5" spans="1:43" ht="44.25" customHeight="1" thickBot="1">
      <c r="A5" s="118"/>
      <c r="B5" s="145" t="s">
        <v>24</v>
      </c>
      <c r="C5" s="119"/>
      <c r="D5" s="124">
        <f>SUM(D4)</f>
        <v>0</v>
      </c>
      <c r="E5" s="119"/>
      <c r="F5" s="120">
        <f>SUM(F4)</f>
        <v>9370</v>
      </c>
      <c r="G5" s="121"/>
      <c r="H5" s="122">
        <f>SUM(H4)</f>
        <v>2014.8</v>
      </c>
      <c r="I5" s="121"/>
      <c r="J5" s="122">
        <f>SUM(J4)</f>
        <v>5323.25</v>
      </c>
      <c r="K5" s="120"/>
      <c r="L5" s="122">
        <f>SUM(L4)</f>
        <v>0</v>
      </c>
      <c r="M5" s="121"/>
      <c r="N5" s="122">
        <f>SUM(N4)</f>
        <v>11551</v>
      </c>
      <c r="O5" s="123"/>
      <c r="P5" s="122">
        <f>SUM(P4)</f>
        <v>1713.35</v>
      </c>
      <c r="Q5" s="124"/>
      <c r="R5" s="125">
        <f>SUM(R4)</f>
        <v>615.6</v>
      </c>
      <c r="S5" s="123"/>
      <c r="T5" s="122">
        <f>SUM(T4)</f>
        <v>300</v>
      </c>
      <c r="U5" s="121"/>
      <c r="V5" s="122">
        <f>SUM(V4)</f>
        <v>0</v>
      </c>
      <c r="W5" s="122"/>
      <c r="X5" s="122">
        <f>SUM(X4)</f>
        <v>0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0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0</v>
      </c>
      <c r="AK5" s="122"/>
      <c r="AL5" s="122">
        <f>SUM(AL4)</f>
        <v>0</v>
      </c>
      <c r="AM5" s="122"/>
      <c r="AN5" s="122">
        <f>SUM(AN4)</f>
        <v>0</v>
      </c>
      <c r="AO5" s="122"/>
      <c r="AP5" s="122">
        <f>SUM(AP4)</f>
        <v>0</v>
      </c>
      <c r="AQ5" s="126">
        <f>SUM(D5:AP5)</f>
        <v>30887.999999999996</v>
      </c>
    </row>
  </sheetData>
  <mergeCells count="1">
    <mergeCell ref="A2:AQ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5"/>
  <sheetViews>
    <sheetView zoomScale="75" zoomScaleNormal="75" workbookViewId="0">
      <selection activeCell="G9" sqref="G9"/>
    </sheetView>
  </sheetViews>
  <sheetFormatPr defaultRowHeight="18.75"/>
  <cols>
    <col min="1" max="1" width="9.140625" style="155"/>
    <col min="2" max="2" width="16.42578125" style="155" customWidth="1"/>
    <col min="3" max="4" width="0" style="155" hidden="1" customWidth="1"/>
    <col min="5" max="5" width="12.42578125" style="155" customWidth="1"/>
    <col min="6" max="6" width="14.42578125" style="155" customWidth="1"/>
    <col min="7" max="7" width="27.5703125" style="155" customWidth="1"/>
    <col min="8" max="8" width="18.42578125" style="155" customWidth="1"/>
    <col min="9" max="9" width="14.5703125" style="155" customWidth="1"/>
    <col min="10" max="10" width="13.140625" style="155" customWidth="1"/>
    <col min="11" max="11" width="14.42578125" style="155" customWidth="1"/>
    <col min="12" max="12" width="12.7109375" style="155" customWidth="1"/>
    <col min="13" max="13" width="15.42578125" style="155" customWidth="1"/>
    <col min="14" max="14" width="14.42578125" style="155" customWidth="1"/>
    <col min="15" max="40" width="0" style="155" hidden="1" customWidth="1"/>
    <col min="41" max="41" width="17" style="155" customWidth="1"/>
    <col min="42" max="42" width="16.42578125" style="155" customWidth="1"/>
    <col min="43" max="43" width="19" style="155" customWidth="1"/>
    <col min="44" max="16384" width="9.140625" style="155"/>
  </cols>
  <sheetData>
    <row r="1" spans="1:43" s="38" customFormat="1"/>
    <row r="2" spans="1:43" s="38" customFormat="1" ht="39" customHeight="1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2"/>
    </row>
    <row r="3" spans="1:43" s="38" customFormat="1" ht="62.25" customHeight="1" thickBot="1">
      <c r="A3" s="39" t="s">
        <v>1</v>
      </c>
      <c r="B3" s="40" t="s">
        <v>2</v>
      </c>
      <c r="C3" s="40" t="s">
        <v>58</v>
      </c>
      <c r="D3" s="41" t="s">
        <v>4</v>
      </c>
      <c r="E3" s="40" t="s">
        <v>118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127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65</v>
      </c>
      <c r="AN3" s="42" t="s">
        <v>4</v>
      </c>
      <c r="AO3" s="46" t="s">
        <v>137</v>
      </c>
      <c r="AP3" s="42" t="s">
        <v>4</v>
      </c>
      <c r="AQ3" s="47" t="s">
        <v>21</v>
      </c>
    </row>
    <row r="4" spans="1:43" s="63" customFormat="1" ht="167.25" customHeight="1" thickBot="1">
      <c r="A4" s="104">
        <v>1</v>
      </c>
      <c r="B4" s="105" t="s">
        <v>133</v>
      </c>
      <c r="C4" s="148"/>
      <c r="D4" s="53"/>
      <c r="E4" s="127" t="s">
        <v>134</v>
      </c>
      <c r="F4" s="153">
        <v>7790</v>
      </c>
      <c r="G4" s="127" t="s">
        <v>140</v>
      </c>
      <c r="H4" s="53">
        <f>900+1500+300+100+6700</f>
        <v>9500</v>
      </c>
      <c r="I4" s="127" t="s">
        <v>135</v>
      </c>
      <c r="J4" s="153">
        <f>5843.25+30</f>
        <v>5873.25</v>
      </c>
      <c r="K4" s="127" t="s">
        <v>138</v>
      </c>
      <c r="L4" s="153">
        <v>100</v>
      </c>
      <c r="M4" s="153" t="s">
        <v>139</v>
      </c>
      <c r="N4" s="153">
        <f>200+50+60+200+10800+100+20</f>
        <v>11430</v>
      </c>
      <c r="O4" s="50"/>
      <c r="P4" s="154"/>
      <c r="Q4" s="50"/>
      <c r="R4" s="51"/>
      <c r="S4" s="131"/>
      <c r="T4" s="51"/>
      <c r="U4" s="50"/>
      <c r="V4" s="51"/>
      <c r="W4" s="134"/>
      <c r="X4" s="53"/>
      <c r="Y4" s="109"/>
      <c r="Z4" s="108"/>
      <c r="AA4" s="50"/>
      <c r="AB4" s="51"/>
      <c r="AC4" s="143"/>
      <c r="AD4" s="144"/>
      <c r="AE4" s="129"/>
      <c r="AF4" s="51"/>
      <c r="AG4" s="50"/>
      <c r="AH4" s="51"/>
      <c r="AI4" s="50"/>
      <c r="AJ4" s="144"/>
      <c r="AK4" s="134"/>
      <c r="AL4" s="53"/>
      <c r="AM4" s="45"/>
      <c r="AN4" s="53"/>
      <c r="AO4" s="127" t="s">
        <v>136</v>
      </c>
      <c r="AP4" s="53">
        <v>2000</v>
      </c>
      <c r="AQ4" s="117"/>
    </row>
    <row r="5" spans="1:43" ht="19.5" thickBot="1">
      <c r="A5" s="118"/>
      <c r="B5" s="145" t="s">
        <v>24</v>
      </c>
      <c r="C5" s="119"/>
      <c r="D5" s="124">
        <f>SUM(D4)</f>
        <v>0</v>
      </c>
      <c r="E5" s="119"/>
      <c r="F5" s="120">
        <f>SUM(F4)</f>
        <v>7790</v>
      </c>
      <c r="G5" s="121"/>
      <c r="H5" s="122">
        <f>SUM(H4)</f>
        <v>9500</v>
      </c>
      <c r="I5" s="121"/>
      <c r="J5" s="122">
        <f>SUM(J4)</f>
        <v>5873.25</v>
      </c>
      <c r="K5" s="120"/>
      <c r="L5" s="122">
        <f>SUM(L4)</f>
        <v>100</v>
      </c>
      <c r="M5" s="121"/>
      <c r="N5" s="122">
        <f>SUM(N4)</f>
        <v>11430</v>
      </c>
      <c r="O5" s="123"/>
      <c r="P5" s="122">
        <f>SUM(P4)</f>
        <v>0</v>
      </c>
      <c r="Q5" s="124"/>
      <c r="R5" s="125">
        <f>SUM(R4)</f>
        <v>0</v>
      </c>
      <c r="S5" s="123"/>
      <c r="T5" s="122">
        <f>SUM(T4)</f>
        <v>0</v>
      </c>
      <c r="U5" s="121"/>
      <c r="V5" s="122">
        <f>SUM(V4)</f>
        <v>0</v>
      </c>
      <c r="W5" s="122"/>
      <c r="X5" s="122">
        <f>SUM(X4)</f>
        <v>0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0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0</v>
      </c>
      <c r="AK5" s="122"/>
      <c r="AL5" s="122">
        <f>SUM(AL4)</f>
        <v>0</v>
      </c>
      <c r="AM5" s="122"/>
      <c r="AN5" s="122">
        <f>SUM(AN4)</f>
        <v>0</v>
      </c>
      <c r="AO5" s="122"/>
      <c r="AP5" s="122">
        <f>SUM(AP4)</f>
        <v>2000</v>
      </c>
      <c r="AQ5" s="126">
        <f>SUM(D5:AP5)</f>
        <v>36693.25</v>
      </c>
    </row>
  </sheetData>
  <mergeCells count="1">
    <mergeCell ref="A2:A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5"/>
  <sheetViews>
    <sheetView zoomScale="75" zoomScaleNormal="75" workbookViewId="0">
      <selection activeCell="J18" sqref="J18"/>
    </sheetView>
  </sheetViews>
  <sheetFormatPr defaultRowHeight="15.75"/>
  <cols>
    <col min="1" max="1" width="4.5703125" style="30" customWidth="1"/>
    <col min="2" max="2" width="16.42578125" style="30" customWidth="1"/>
    <col min="3" max="3" width="16.5703125" style="30" customWidth="1"/>
    <col min="4" max="4" width="10.140625" style="30" customWidth="1"/>
    <col min="5" max="5" width="16.42578125" style="30" customWidth="1"/>
    <col min="6" max="6" width="8.7109375" style="30" customWidth="1"/>
    <col min="7" max="7" width="16.140625" style="30" customWidth="1"/>
    <col min="8" max="8" width="9.140625" style="30"/>
    <col min="9" max="9" width="17.28515625" style="30" customWidth="1"/>
    <col min="10" max="10" width="9.140625" style="30"/>
    <col min="11" max="26" width="0" style="30" hidden="1" customWidth="1"/>
    <col min="27" max="27" width="16.42578125" style="30" customWidth="1"/>
    <col min="28" max="28" width="9.140625" style="30"/>
    <col min="29" max="36" width="0" style="30" hidden="1" customWidth="1"/>
    <col min="37" max="37" width="13.85546875" style="30" customWidth="1"/>
    <col min="38" max="38" width="9.140625" style="30"/>
    <col min="39" max="39" width="16.140625" style="30" customWidth="1"/>
    <col min="40" max="16384" width="9.140625" style="30"/>
  </cols>
  <sheetData>
    <row r="2" spans="1:39" ht="24" thickBot="1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70"/>
    </row>
    <row r="3" spans="1:39" ht="35.25" customHeight="1" thickBot="1">
      <c r="A3" s="1" t="s">
        <v>1</v>
      </c>
      <c r="B3" s="2" t="s">
        <v>2</v>
      </c>
      <c r="C3" s="3" t="s">
        <v>3</v>
      </c>
      <c r="D3" s="4" t="s">
        <v>4</v>
      </c>
      <c r="E3" s="2" t="s">
        <v>5</v>
      </c>
      <c r="F3" s="4" t="s">
        <v>4</v>
      </c>
      <c r="G3" s="5" t="s">
        <v>6</v>
      </c>
      <c r="H3" s="4" t="s">
        <v>4</v>
      </c>
      <c r="I3" s="3" t="s">
        <v>7</v>
      </c>
      <c r="J3" s="4" t="s">
        <v>4</v>
      </c>
      <c r="K3" s="2" t="s">
        <v>8</v>
      </c>
      <c r="L3" s="3" t="s">
        <v>4</v>
      </c>
      <c r="M3" s="5" t="s">
        <v>9</v>
      </c>
      <c r="N3" s="4" t="s">
        <v>4</v>
      </c>
      <c r="O3" s="5" t="s">
        <v>10</v>
      </c>
      <c r="P3" s="4" t="s">
        <v>4</v>
      </c>
      <c r="Q3" s="5" t="s">
        <v>11</v>
      </c>
      <c r="R3" s="6" t="s">
        <v>4</v>
      </c>
      <c r="S3" s="5" t="s">
        <v>12</v>
      </c>
      <c r="T3" s="4" t="s">
        <v>4</v>
      </c>
      <c r="U3" s="5" t="s">
        <v>13</v>
      </c>
      <c r="V3" s="4" t="s">
        <v>4</v>
      </c>
      <c r="W3" s="5" t="s">
        <v>14</v>
      </c>
      <c r="X3" s="4" t="s">
        <v>4</v>
      </c>
      <c r="Y3" s="5" t="s">
        <v>15</v>
      </c>
      <c r="Z3" s="4" t="s">
        <v>4</v>
      </c>
      <c r="AA3" s="5" t="s">
        <v>16</v>
      </c>
      <c r="AB3" s="4" t="s">
        <v>4</v>
      </c>
      <c r="AC3" s="5" t="s">
        <v>17</v>
      </c>
      <c r="AD3" s="4" t="s">
        <v>4</v>
      </c>
      <c r="AE3" s="4" t="s">
        <v>18</v>
      </c>
      <c r="AF3" s="4" t="s">
        <v>4</v>
      </c>
      <c r="AG3" s="5" t="s">
        <v>19</v>
      </c>
      <c r="AH3" s="4" t="s">
        <v>4</v>
      </c>
      <c r="AI3" s="26" t="s">
        <v>26</v>
      </c>
      <c r="AJ3" s="4" t="s">
        <v>4</v>
      </c>
      <c r="AK3" s="7" t="s">
        <v>20</v>
      </c>
      <c r="AL3" s="4" t="s">
        <v>4</v>
      </c>
      <c r="AM3" s="8" t="s">
        <v>21</v>
      </c>
    </row>
    <row r="4" spans="1:39" s="37" customFormat="1" ht="112.5" customHeight="1">
      <c r="A4" s="9">
        <v>1</v>
      </c>
      <c r="B4" s="31" t="s">
        <v>34</v>
      </c>
      <c r="C4" s="34" t="s">
        <v>35</v>
      </c>
      <c r="D4" s="35">
        <f>1600+5940+10628+600+980+30+253</f>
        <v>20031</v>
      </c>
      <c r="E4" s="36" t="s">
        <v>33</v>
      </c>
      <c r="F4" s="27">
        <v>100</v>
      </c>
      <c r="G4" s="28" t="s">
        <v>36</v>
      </c>
      <c r="H4" s="33">
        <f>2964.6+215+2850.7</f>
        <v>6030.2999999999993</v>
      </c>
      <c r="I4" s="28" t="s">
        <v>191</v>
      </c>
      <c r="J4" s="33">
        <f>1850+900+1200+960+100+20+20</f>
        <v>5050</v>
      </c>
      <c r="K4" s="12"/>
      <c r="L4" s="13"/>
      <c r="M4" s="14"/>
      <c r="N4" s="15"/>
      <c r="O4" s="12"/>
      <c r="P4" s="10"/>
      <c r="Q4" s="9"/>
      <c r="R4" s="10"/>
      <c r="S4" s="10"/>
      <c r="T4" s="10"/>
      <c r="U4" s="28"/>
      <c r="V4" s="27"/>
      <c r="W4" s="26"/>
      <c r="X4" s="27"/>
      <c r="Y4" s="11"/>
      <c r="Z4" s="10"/>
      <c r="AA4" s="28" t="s">
        <v>32</v>
      </c>
      <c r="AB4" s="33">
        <v>3869</v>
      </c>
      <c r="AC4" s="10"/>
      <c r="AD4" s="10"/>
      <c r="AE4" s="10"/>
      <c r="AF4" s="10"/>
      <c r="AG4" s="10"/>
      <c r="AH4" s="10"/>
      <c r="AI4" s="26"/>
      <c r="AJ4" s="27"/>
      <c r="AK4" s="11" t="s">
        <v>37</v>
      </c>
      <c r="AL4" s="10">
        <v>30</v>
      </c>
      <c r="AM4" s="16"/>
    </row>
    <row r="5" spans="1:39" ht="33.75" customHeight="1">
      <c r="A5" s="17"/>
      <c r="B5" s="18" t="s">
        <v>24</v>
      </c>
      <c r="C5" s="17"/>
      <c r="D5" s="19">
        <f>SUM(D4)</f>
        <v>20031</v>
      </c>
      <c r="E5" s="17"/>
      <c r="F5" s="19">
        <f>SUM(F4)</f>
        <v>100</v>
      </c>
      <c r="G5" s="20"/>
      <c r="H5" s="19">
        <f>SUM(H4)</f>
        <v>6030.2999999999993</v>
      </c>
      <c r="I5" s="17"/>
      <c r="J5" s="19">
        <f>SUM(J4)</f>
        <v>5050</v>
      </c>
      <c r="K5" s="21"/>
      <c r="L5" s="22"/>
      <c r="M5" s="23"/>
      <c r="N5" s="24"/>
      <c r="O5" s="21"/>
      <c r="P5" s="19"/>
      <c r="Q5" s="17"/>
      <c r="R5" s="19"/>
      <c r="S5" s="19"/>
      <c r="T5" s="19"/>
      <c r="U5" s="19"/>
      <c r="V5" s="19">
        <f>SUM(V4)</f>
        <v>0</v>
      </c>
      <c r="W5" s="19"/>
      <c r="X5" s="19">
        <f>SUM(X4)</f>
        <v>0</v>
      </c>
      <c r="Y5" s="19"/>
      <c r="Z5" s="19">
        <f>SUM(Z4)</f>
        <v>0</v>
      </c>
      <c r="AA5" s="19"/>
      <c r="AB5" s="19">
        <f>SUM(AB4)</f>
        <v>3869</v>
      </c>
      <c r="AC5" s="19"/>
      <c r="AD5" s="19">
        <f>SUM(AD4)</f>
        <v>0</v>
      </c>
      <c r="AE5" s="19"/>
      <c r="AF5" s="19">
        <f>SUM(AF4)</f>
        <v>0</v>
      </c>
      <c r="AG5" s="19"/>
      <c r="AH5" s="19"/>
      <c r="AI5" s="19"/>
      <c r="AJ5" s="19">
        <f>SUM(AJ4)</f>
        <v>0</v>
      </c>
      <c r="AK5" s="19"/>
      <c r="AL5" s="19">
        <f>SUM(AL4)</f>
        <v>30</v>
      </c>
      <c r="AM5" s="25">
        <f>SUM(D5:AL5)</f>
        <v>35110.300000000003</v>
      </c>
    </row>
  </sheetData>
  <mergeCells count="1">
    <mergeCell ref="A2:AM2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Q5"/>
  <sheetViews>
    <sheetView zoomScale="75" zoomScaleNormal="75" workbookViewId="0">
      <selection activeCell="H16" sqref="H16"/>
    </sheetView>
  </sheetViews>
  <sheetFormatPr defaultRowHeight="18.75"/>
  <cols>
    <col min="1" max="1" width="5.42578125" style="38" customWidth="1"/>
    <col min="2" max="2" width="31.7109375" style="38" customWidth="1"/>
    <col min="3" max="6" width="0" style="38" hidden="1" customWidth="1"/>
    <col min="7" max="7" width="23" style="38" customWidth="1"/>
    <col min="8" max="8" width="21.42578125" style="38" customWidth="1"/>
    <col min="9" max="41" width="0" style="38" hidden="1" customWidth="1"/>
    <col min="42" max="42" width="10.85546875" style="38" customWidth="1"/>
    <col min="43" max="43" width="21.140625" style="38" customWidth="1"/>
    <col min="44" max="16384" width="9.140625" style="38"/>
  </cols>
  <sheetData>
    <row r="2" spans="1:43" ht="39" customHeight="1" thickBot="1">
      <c r="A2" s="149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1"/>
    </row>
    <row r="3" spans="1:43" ht="62.25" customHeight="1" thickBot="1">
      <c r="A3" s="39" t="s">
        <v>1</v>
      </c>
      <c r="B3" s="40" t="s">
        <v>2</v>
      </c>
      <c r="C3" s="40" t="s">
        <v>58</v>
      </c>
      <c r="D3" s="41" t="s">
        <v>4</v>
      </c>
      <c r="E3" s="40" t="s">
        <v>118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127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65</v>
      </c>
      <c r="AN3" s="42" t="s">
        <v>4</v>
      </c>
      <c r="AO3" s="46" t="s">
        <v>137</v>
      </c>
      <c r="AP3" s="42" t="s">
        <v>4</v>
      </c>
      <c r="AQ3" s="47" t="s">
        <v>21</v>
      </c>
    </row>
    <row r="4" spans="1:43" s="63" customFormat="1" ht="167.25" customHeight="1" thickBot="1">
      <c r="A4" s="104">
        <v>1</v>
      </c>
      <c r="B4" s="105" t="s">
        <v>141</v>
      </c>
      <c r="C4" s="148"/>
      <c r="D4" s="53"/>
      <c r="E4" s="127"/>
      <c r="F4" s="153"/>
      <c r="G4" s="152" t="s">
        <v>85</v>
      </c>
      <c r="H4" s="32">
        <v>4000</v>
      </c>
      <c r="I4" s="127"/>
      <c r="J4" s="153"/>
      <c r="K4" s="127"/>
      <c r="L4" s="153"/>
      <c r="M4" s="153"/>
      <c r="N4" s="153"/>
      <c r="O4" s="50"/>
      <c r="P4" s="154"/>
      <c r="Q4" s="50"/>
      <c r="R4" s="51"/>
      <c r="S4" s="131"/>
      <c r="T4" s="51"/>
      <c r="U4" s="50"/>
      <c r="V4" s="51"/>
      <c r="W4" s="134"/>
      <c r="X4" s="53"/>
      <c r="Y4" s="109"/>
      <c r="Z4" s="108"/>
      <c r="AA4" s="50"/>
      <c r="AB4" s="51"/>
      <c r="AC4" s="143"/>
      <c r="AD4" s="144"/>
      <c r="AE4" s="129"/>
      <c r="AF4" s="51"/>
      <c r="AG4" s="50"/>
      <c r="AH4" s="51"/>
      <c r="AI4" s="50"/>
      <c r="AJ4" s="144"/>
      <c r="AK4" s="134"/>
      <c r="AL4" s="53"/>
      <c r="AM4" s="45"/>
      <c r="AN4" s="53"/>
      <c r="AO4" s="127"/>
      <c r="AP4" s="53"/>
      <c r="AQ4" s="117"/>
    </row>
    <row r="5" spans="1:43" ht="38.25" thickBot="1">
      <c r="A5" s="118"/>
      <c r="B5" s="145" t="s">
        <v>24</v>
      </c>
      <c r="C5" s="119"/>
      <c r="D5" s="124">
        <f>SUM(D4)</f>
        <v>0</v>
      </c>
      <c r="E5" s="119"/>
      <c r="F5" s="120">
        <f>SUM(F4)</f>
        <v>0</v>
      </c>
      <c r="G5" s="121"/>
      <c r="H5" s="122">
        <f>SUM(H4)</f>
        <v>4000</v>
      </c>
      <c r="I5" s="121"/>
      <c r="J5" s="122">
        <f>SUM(J4)</f>
        <v>0</v>
      </c>
      <c r="K5" s="120"/>
      <c r="L5" s="122">
        <f>SUM(L4)</f>
        <v>0</v>
      </c>
      <c r="M5" s="121"/>
      <c r="N5" s="122">
        <f>SUM(N4)</f>
        <v>0</v>
      </c>
      <c r="O5" s="123"/>
      <c r="P5" s="122">
        <f>SUM(P4)</f>
        <v>0</v>
      </c>
      <c r="Q5" s="124"/>
      <c r="R5" s="125">
        <f>SUM(R4)</f>
        <v>0</v>
      </c>
      <c r="S5" s="123"/>
      <c r="T5" s="122">
        <f>SUM(T4)</f>
        <v>0</v>
      </c>
      <c r="U5" s="121"/>
      <c r="V5" s="122">
        <f>SUM(V4)</f>
        <v>0</v>
      </c>
      <c r="W5" s="122"/>
      <c r="X5" s="122">
        <f>SUM(X4)</f>
        <v>0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0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0</v>
      </c>
      <c r="AK5" s="122"/>
      <c r="AL5" s="122">
        <f>SUM(AL4)</f>
        <v>0</v>
      </c>
      <c r="AM5" s="122"/>
      <c r="AN5" s="122">
        <f>SUM(AN4)</f>
        <v>0</v>
      </c>
      <c r="AO5" s="122"/>
      <c r="AP5" s="122">
        <f>SUM(AP4)</f>
        <v>0</v>
      </c>
      <c r="AQ5" s="126">
        <f>SUM(D5:AP5)</f>
        <v>4000</v>
      </c>
    </row>
  </sheetData>
  <mergeCells count="1">
    <mergeCell ref="A2:AQ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Q5"/>
  <sheetViews>
    <sheetView zoomScale="75" zoomScaleNormal="75" workbookViewId="0">
      <selection activeCell="E13" sqref="E13:F13"/>
    </sheetView>
  </sheetViews>
  <sheetFormatPr defaultRowHeight="18.75"/>
  <cols>
    <col min="1" max="1" width="6.85546875" style="38" customWidth="1"/>
    <col min="2" max="2" width="17" style="38" customWidth="1"/>
    <col min="3" max="3" width="0" style="38" hidden="1" customWidth="1"/>
    <col min="4" max="4" width="9.7109375" style="38" hidden="1" customWidth="1"/>
    <col min="5" max="5" width="13.42578125" style="38" customWidth="1"/>
    <col min="6" max="6" width="14.28515625" style="38" customWidth="1"/>
    <col min="7" max="7" width="16.28515625" style="38" customWidth="1"/>
    <col min="8" max="8" width="13.5703125" style="38" customWidth="1"/>
    <col min="9" max="9" width="10.28515625" style="38" customWidth="1"/>
    <col min="10" max="10" width="9.140625" style="38"/>
    <col min="11" max="11" width="15.28515625" style="38" customWidth="1"/>
    <col min="12" max="12" width="12.5703125" style="38" customWidth="1"/>
    <col min="13" max="13" width="13.85546875" style="38" customWidth="1"/>
    <col min="14" max="14" width="13.5703125" style="38" customWidth="1"/>
    <col min="15" max="15" width="13" style="38" customWidth="1"/>
    <col min="16" max="16" width="10.85546875" style="38" customWidth="1"/>
    <col min="17" max="18" width="9.140625" style="38" hidden="1" customWidth="1"/>
    <col min="19" max="19" width="20.28515625" style="38" customWidth="1"/>
    <col min="20" max="20" width="13.7109375" style="38" customWidth="1"/>
    <col min="21" max="22" width="9.140625" style="38" hidden="1" customWidth="1"/>
    <col min="23" max="23" width="13.7109375" style="38" customWidth="1"/>
    <col min="24" max="24" width="11.28515625" style="38" customWidth="1"/>
    <col min="25" max="25" width="19.42578125" style="38" customWidth="1"/>
    <col min="26" max="26" width="13.7109375" style="38" customWidth="1"/>
    <col min="27" max="28" width="0" style="38" hidden="1" customWidth="1"/>
    <col min="29" max="29" width="17.5703125" style="38" customWidth="1"/>
    <col min="30" max="30" width="12.42578125" style="38" customWidth="1"/>
    <col min="31" max="38" width="0" style="38" hidden="1" customWidth="1"/>
    <col min="39" max="39" width="19.28515625" style="38" customWidth="1"/>
    <col min="40" max="40" width="12.140625" style="38" customWidth="1"/>
    <col min="41" max="42" width="0" style="38" hidden="1" customWidth="1"/>
    <col min="43" max="43" width="18" style="38" customWidth="1"/>
    <col min="44" max="16384" width="9.140625" style="38"/>
  </cols>
  <sheetData>
    <row r="2" spans="1:43" ht="39" customHeight="1" thickBot="1">
      <c r="A2" s="149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1"/>
    </row>
    <row r="3" spans="1:43" ht="62.25" customHeight="1" thickBot="1">
      <c r="A3" s="39" t="s">
        <v>1</v>
      </c>
      <c r="B3" s="40" t="s">
        <v>2</v>
      </c>
      <c r="C3" s="40" t="s">
        <v>58</v>
      </c>
      <c r="D3" s="41" t="s">
        <v>4</v>
      </c>
      <c r="E3" s="40" t="s">
        <v>118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151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65</v>
      </c>
      <c r="AN3" s="42" t="s">
        <v>4</v>
      </c>
      <c r="AO3" s="46" t="s">
        <v>137</v>
      </c>
      <c r="AP3" s="42" t="s">
        <v>4</v>
      </c>
      <c r="AQ3" s="47" t="s">
        <v>21</v>
      </c>
    </row>
    <row r="4" spans="1:43" s="63" customFormat="1" ht="177" customHeight="1" thickBot="1">
      <c r="A4" s="104">
        <v>1</v>
      </c>
      <c r="B4" s="105" t="s">
        <v>142</v>
      </c>
      <c r="C4" s="148"/>
      <c r="D4" s="53"/>
      <c r="E4" s="50" t="s">
        <v>144</v>
      </c>
      <c r="F4" s="51">
        <v>1811.16</v>
      </c>
      <c r="G4" s="50" t="s">
        <v>150</v>
      </c>
      <c r="H4" s="53">
        <f>27743.58+14037.6</f>
        <v>41781.18</v>
      </c>
      <c r="I4" s="50" t="s">
        <v>146</v>
      </c>
      <c r="J4" s="51">
        <f>358.52</f>
        <v>358.52</v>
      </c>
      <c r="K4" s="50" t="s">
        <v>153</v>
      </c>
      <c r="L4" s="51">
        <f>6060.6+1994.22+948.67+125+4001.62+902.4+406.2+16956+6585.72+4485+1189.93+2090.61+688.82+1512.5+46.6+519+38.7+659.93+481.96+280.36+1905.33+322.8+27947.9</f>
        <v>80149.87</v>
      </c>
      <c r="M4" s="50" t="s">
        <v>147</v>
      </c>
      <c r="N4" s="51">
        <f>10914.9+1382.7+2765.4+1181+2227.5</f>
        <v>18471.5</v>
      </c>
      <c r="O4" s="156" t="s">
        <v>54</v>
      </c>
      <c r="P4" s="51">
        <f>158.3+73.9+187.56</f>
        <v>419.76</v>
      </c>
      <c r="Q4" s="50"/>
      <c r="R4" s="51"/>
      <c r="S4" s="50" t="s">
        <v>152</v>
      </c>
      <c r="T4" s="51">
        <f>2019.77+6775.5+655.55+198.27+843.3</f>
        <v>10492.39</v>
      </c>
      <c r="U4" s="50"/>
      <c r="V4" s="51"/>
      <c r="W4" s="134" t="s">
        <v>145</v>
      </c>
      <c r="X4" s="53">
        <v>2748</v>
      </c>
      <c r="Y4" s="50" t="s">
        <v>148</v>
      </c>
      <c r="Z4" s="51">
        <f>9054+9830+2320+1700</f>
        <v>22904</v>
      </c>
      <c r="AA4" s="50"/>
      <c r="AB4" s="51"/>
      <c r="AC4" s="50" t="s">
        <v>149</v>
      </c>
      <c r="AD4" s="51">
        <v>6966.4</v>
      </c>
      <c r="AE4" s="129"/>
      <c r="AF4" s="51"/>
      <c r="AG4" s="50"/>
      <c r="AH4" s="51"/>
      <c r="AI4" s="50"/>
      <c r="AJ4" s="144"/>
      <c r="AK4" s="134"/>
      <c r="AL4" s="53"/>
      <c r="AM4" s="50" t="s">
        <v>143</v>
      </c>
      <c r="AN4" s="51">
        <f>5567.64+4291.2+835.88+173.09+2375+2241.3+2400+1000</f>
        <v>18884.11</v>
      </c>
      <c r="AO4" s="127"/>
      <c r="AP4" s="53"/>
      <c r="AQ4" s="117"/>
    </row>
    <row r="5" spans="1:43" ht="19.5" thickBot="1">
      <c r="A5" s="118"/>
      <c r="B5" s="145" t="s">
        <v>24</v>
      </c>
      <c r="C5" s="119"/>
      <c r="D5" s="124">
        <f>SUM(D4)</f>
        <v>0</v>
      </c>
      <c r="E5" s="119"/>
      <c r="F5" s="120">
        <f>SUM(F4)</f>
        <v>1811.16</v>
      </c>
      <c r="G5" s="121"/>
      <c r="H5" s="122">
        <f>SUM(H4)</f>
        <v>41781.18</v>
      </c>
      <c r="I5" s="121"/>
      <c r="J5" s="122">
        <f>SUM(J4)</f>
        <v>358.52</v>
      </c>
      <c r="K5" s="120"/>
      <c r="L5" s="122">
        <f>SUM(L4)</f>
        <v>80149.87</v>
      </c>
      <c r="M5" s="121"/>
      <c r="N5" s="122">
        <f>SUM(N4)</f>
        <v>18471.5</v>
      </c>
      <c r="O5" s="123"/>
      <c r="P5" s="122">
        <f>SUM(P4)</f>
        <v>419.76</v>
      </c>
      <c r="Q5" s="124"/>
      <c r="R5" s="125">
        <f>SUM(R4)</f>
        <v>0</v>
      </c>
      <c r="S5" s="123"/>
      <c r="T5" s="122">
        <f>SUM(T4)</f>
        <v>10492.39</v>
      </c>
      <c r="U5" s="121"/>
      <c r="V5" s="122">
        <f>SUM(V4)</f>
        <v>0</v>
      </c>
      <c r="W5" s="122"/>
      <c r="X5" s="122">
        <f>SUM(X4)</f>
        <v>2748</v>
      </c>
      <c r="Y5" s="122"/>
      <c r="Z5" s="122">
        <f>SUM(Z4)</f>
        <v>22904</v>
      </c>
      <c r="AA5" s="122"/>
      <c r="AB5" s="122">
        <f>SUM(AB4)</f>
        <v>0</v>
      </c>
      <c r="AC5" s="122"/>
      <c r="AD5" s="122">
        <f>SUM(AD4)</f>
        <v>6966.4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0</v>
      </c>
      <c r="AK5" s="122"/>
      <c r="AL5" s="122">
        <f>SUM(AL4)</f>
        <v>0</v>
      </c>
      <c r="AM5" s="122"/>
      <c r="AN5" s="122">
        <f>SUM(AN4)</f>
        <v>18884.11</v>
      </c>
      <c r="AO5" s="122"/>
      <c r="AP5" s="122">
        <f>SUM(AP4)</f>
        <v>0</v>
      </c>
      <c r="AQ5" s="126">
        <f>SUM(F5:AP5)</f>
        <v>204986.89</v>
      </c>
    </row>
  </sheetData>
  <mergeCells count="1">
    <mergeCell ref="A2:AQ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Q5"/>
  <sheetViews>
    <sheetView topLeftCell="L1" zoomScale="75" zoomScaleNormal="75" workbookViewId="0">
      <selection activeCell="AL14" sqref="AL14"/>
    </sheetView>
  </sheetViews>
  <sheetFormatPr defaultRowHeight="18.75"/>
  <cols>
    <col min="1" max="1" width="9.140625" style="38"/>
    <col min="2" max="2" width="16" style="38" customWidth="1"/>
    <col min="3" max="6" width="0" style="38" hidden="1" customWidth="1"/>
    <col min="7" max="7" width="13.140625" style="38" customWidth="1"/>
    <col min="8" max="8" width="12.42578125" style="38" customWidth="1"/>
    <col min="9" max="10" width="0" style="38" hidden="1" customWidth="1"/>
    <col min="11" max="11" width="13.85546875" style="38" customWidth="1"/>
    <col min="12" max="12" width="12.140625" style="38" customWidth="1"/>
    <col min="13" max="13" width="18.140625" style="38" customWidth="1"/>
    <col min="14" max="14" width="13.28515625" style="38" customWidth="1"/>
    <col min="15" max="20" width="0" style="38" hidden="1" customWidth="1"/>
    <col min="21" max="21" width="13" style="38" customWidth="1"/>
    <col min="22" max="22" width="15.140625" style="38" customWidth="1"/>
    <col min="23" max="23" width="11.5703125" style="38" customWidth="1"/>
    <col min="24" max="24" width="12.42578125" style="38" customWidth="1"/>
    <col min="25" max="36" width="0" style="38" hidden="1" customWidth="1"/>
    <col min="37" max="37" width="16.7109375" style="38" customWidth="1"/>
    <col min="38" max="38" width="13.7109375" style="38" customWidth="1"/>
    <col min="39" max="39" width="0" style="38" hidden="1" customWidth="1"/>
    <col min="40" max="40" width="12.140625" style="38" hidden="1" customWidth="1"/>
    <col min="41" max="41" width="15.7109375" style="38" customWidth="1"/>
    <col min="42" max="42" width="18.42578125" style="38" customWidth="1"/>
    <col min="43" max="43" width="16.140625" style="38" customWidth="1"/>
    <col min="44" max="16384" width="9.140625" style="38"/>
  </cols>
  <sheetData>
    <row r="2" spans="1:43" ht="39" customHeight="1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2"/>
    </row>
    <row r="3" spans="1:43" ht="62.25" customHeight="1" thickBot="1">
      <c r="A3" s="39" t="s">
        <v>1</v>
      </c>
      <c r="B3" s="40" t="s">
        <v>2</v>
      </c>
      <c r="C3" s="40" t="s">
        <v>58</v>
      </c>
      <c r="D3" s="41" t="s">
        <v>4</v>
      </c>
      <c r="E3" s="40" t="s">
        <v>118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151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65</v>
      </c>
      <c r="AN3" s="42" t="s">
        <v>4</v>
      </c>
      <c r="AO3" s="46" t="s">
        <v>137</v>
      </c>
      <c r="AP3" s="42" t="s">
        <v>4</v>
      </c>
      <c r="AQ3" s="47" t="s">
        <v>21</v>
      </c>
    </row>
    <row r="4" spans="1:43" s="63" customFormat="1" ht="117" customHeight="1" thickBot="1">
      <c r="A4" s="104">
        <v>1</v>
      </c>
      <c r="B4" s="105" t="s">
        <v>154</v>
      </c>
      <c r="C4" s="148"/>
      <c r="D4" s="53"/>
      <c r="E4" s="50"/>
      <c r="F4" s="51"/>
      <c r="G4" s="127" t="s">
        <v>155</v>
      </c>
      <c r="H4" s="55">
        <v>580</v>
      </c>
      <c r="I4" s="50"/>
      <c r="J4" s="51"/>
      <c r="K4" s="127" t="s">
        <v>159</v>
      </c>
      <c r="L4" s="55">
        <v>4875</v>
      </c>
      <c r="M4" s="127" t="s">
        <v>158</v>
      </c>
      <c r="N4" s="55">
        <f>11529+1500+500+3800+2600</f>
        <v>19929</v>
      </c>
      <c r="O4" s="156"/>
      <c r="P4" s="51"/>
      <c r="Q4" s="50"/>
      <c r="R4" s="51"/>
      <c r="S4" s="50"/>
      <c r="T4" s="51"/>
      <c r="U4" s="127" t="s">
        <v>87</v>
      </c>
      <c r="V4" s="55">
        <v>7725</v>
      </c>
      <c r="W4" s="157" t="s">
        <v>157</v>
      </c>
      <c r="X4" s="128">
        <v>903</v>
      </c>
      <c r="Y4" s="50"/>
      <c r="Z4" s="51"/>
      <c r="AA4" s="50"/>
      <c r="AB4" s="51"/>
      <c r="AC4" s="50"/>
      <c r="AD4" s="51"/>
      <c r="AE4" s="129"/>
      <c r="AF4" s="51"/>
      <c r="AG4" s="50"/>
      <c r="AH4" s="51"/>
      <c r="AI4" s="50"/>
      <c r="AJ4" s="144"/>
      <c r="AK4" s="127" t="s">
        <v>43</v>
      </c>
      <c r="AL4" s="55">
        <f>3100+1875+8920</f>
        <v>13895</v>
      </c>
      <c r="AM4" s="50"/>
      <c r="AN4" s="51"/>
      <c r="AO4" s="127" t="s">
        <v>156</v>
      </c>
      <c r="AP4" s="55">
        <v>2000</v>
      </c>
      <c r="AQ4" s="117"/>
    </row>
    <row r="5" spans="1:43" ht="19.5" thickBot="1">
      <c r="A5" s="118"/>
      <c r="B5" s="145" t="s">
        <v>24</v>
      </c>
      <c r="C5" s="119"/>
      <c r="D5" s="124">
        <f>SUM(D4)</f>
        <v>0</v>
      </c>
      <c r="E5" s="119"/>
      <c r="F5" s="120">
        <f>SUM(F4)</f>
        <v>0</v>
      </c>
      <c r="G5" s="121"/>
      <c r="H5" s="122">
        <f>SUM(H4)</f>
        <v>580</v>
      </c>
      <c r="I5" s="121"/>
      <c r="J5" s="122">
        <f>SUM(J4)</f>
        <v>0</v>
      </c>
      <c r="K5" s="120"/>
      <c r="L5" s="122">
        <f>SUM(L4)</f>
        <v>4875</v>
      </c>
      <c r="M5" s="121"/>
      <c r="N5" s="122">
        <f>SUM(N4)</f>
        <v>19929</v>
      </c>
      <c r="O5" s="123"/>
      <c r="P5" s="122">
        <f>SUM(P4)</f>
        <v>0</v>
      </c>
      <c r="Q5" s="124"/>
      <c r="R5" s="125">
        <f>SUM(R4)</f>
        <v>0</v>
      </c>
      <c r="S5" s="123"/>
      <c r="T5" s="122">
        <f>SUM(T4)</f>
        <v>0</v>
      </c>
      <c r="U5" s="121"/>
      <c r="V5" s="122">
        <f>SUM(V4)</f>
        <v>7725</v>
      </c>
      <c r="W5" s="122"/>
      <c r="X5" s="122">
        <f>SUM(X4)</f>
        <v>903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0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0</v>
      </c>
      <c r="AK5" s="122"/>
      <c r="AL5" s="122">
        <f>SUM(AL4)</f>
        <v>13895</v>
      </c>
      <c r="AM5" s="122"/>
      <c r="AN5" s="122">
        <f>SUM(AN4)</f>
        <v>0</v>
      </c>
      <c r="AO5" s="122"/>
      <c r="AP5" s="122">
        <f>SUM(AP4)</f>
        <v>2000</v>
      </c>
      <c r="AQ5" s="126">
        <f>SUM(F5:AP5)</f>
        <v>49907</v>
      </c>
    </row>
  </sheetData>
  <mergeCells count="1">
    <mergeCell ref="A2:AQ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Q5"/>
  <sheetViews>
    <sheetView topLeftCell="I1" zoomScale="75" zoomScaleNormal="75" workbookViewId="0">
      <selection activeCell="V13" sqref="V13"/>
    </sheetView>
  </sheetViews>
  <sheetFormatPr defaultRowHeight="18.75"/>
  <cols>
    <col min="1" max="1" width="6.28515625" style="38" customWidth="1"/>
    <col min="2" max="2" width="17.140625" style="38" customWidth="1"/>
    <col min="3" max="4" width="0" style="38" hidden="1" customWidth="1"/>
    <col min="5" max="5" width="14.42578125" style="38" customWidth="1"/>
    <col min="6" max="6" width="11" style="38" customWidth="1"/>
    <col min="7" max="7" width="13.42578125" style="38" customWidth="1"/>
    <col min="8" max="8" width="12" style="38" customWidth="1"/>
    <col min="9" max="9" width="16.140625" style="38" customWidth="1"/>
    <col min="10" max="10" width="10.28515625" style="38" customWidth="1"/>
    <col min="11" max="12" width="0" style="38" hidden="1" customWidth="1"/>
    <col min="13" max="13" width="18.42578125" style="38" customWidth="1"/>
    <col min="14" max="14" width="13.85546875" style="38" customWidth="1"/>
    <col min="15" max="15" width="12.5703125" style="38" customWidth="1"/>
    <col min="16" max="16" width="11.28515625" style="38" customWidth="1"/>
    <col min="17" max="20" width="0" style="38" hidden="1" customWidth="1"/>
    <col min="21" max="21" width="12.5703125" style="38" customWidth="1"/>
    <col min="22" max="22" width="10.85546875" style="38" customWidth="1"/>
    <col min="23" max="23" width="14.7109375" style="38" customWidth="1"/>
    <col min="24" max="24" width="13.5703125" style="38" customWidth="1"/>
    <col min="25" max="34" width="0" style="38" hidden="1" customWidth="1"/>
    <col min="35" max="35" width="18.42578125" style="38" customWidth="1"/>
    <col min="36" max="36" width="12.85546875" style="38" customWidth="1"/>
    <col min="37" max="41" width="0" style="38" hidden="1" customWidth="1"/>
    <col min="42" max="42" width="0.28515625" style="38" hidden="1" customWidth="1"/>
    <col min="43" max="43" width="14.140625" style="38" customWidth="1"/>
    <col min="44" max="16384" width="9.140625" style="38"/>
  </cols>
  <sheetData>
    <row r="2" spans="1:43" ht="39" customHeight="1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2"/>
    </row>
    <row r="3" spans="1:43" ht="62.25" customHeight="1" thickBot="1">
      <c r="A3" s="39" t="s">
        <v>1</v>
      </c>
      <c r="B3" s="40" t="s">
        <v>2</v>
      </c>
      <c r="C3" s="40" t="s">
        <v>58</v>
      </c>
      <c r="D3" s="41" t="s">
        <v>4</v>
      </c>
      <c r="E3" s="40" t="s">
        <v>118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151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65</v>
      </c>
      <c r="AN3" s="42" t="s">
        <v>4</v>
      </c>
      <c r="AO3" s="46" t="s">
        <v>137</v>
      </c>
      <c r="AP3" s="42" t="s">
        <v>4</v>
      </c>
      <c r="AQ3" s="47" t="s">
        <v>21</v>
      </c>
    </row>
    <row r="4" spans="1:43" s="63" customFormat="1" ht="117" customHeight="1" thickBot="1">
      <c r="A4" s="104">
        <v>1</v>
      </c>
      <c r="B4" s="105" t="s">
        <v>160</v>
      </c>
      <c r="C4" s="148"/>
      <c r="D4" s="53"/>
      <c r="E4" s="45" t="s">
        <v>161</v>
      </c>
      <c r="F4" s="153">
        <f>800</f>
        <v>800</v>
      </c>
      <c r="G4" s="45" t="s">
        <v>163</v>
      </c>
      <c r="H4" s="153">
        <f>14800+1000</f>
        <v>15800</v>
      </c>
      <c r="I4" s="45" t="s">
        <v>166</v>
      </c>
      <c r="J4" s="153">
        <f>850+85+400</f>
        <v>1335</v>
      </c>
      <c r="K4" s="127"/>
      <c r="L4" s="74"/>
      <c r="M4" s="45" t="s">
        <v>167</v>
      </c>
      <c r="N4" s="153">
        <f>23840+200+750+500+1300</f>
        <v>26590</v>
      </c>
      <c r="O4" s="45" t="s">
        <v>165</v>
      </c>
      <c r="P4" s="153">
        <f>190+200</f>
        <v>390</v>
      </c>
      <c r="Q4" s="50"/>
      <c r="R4" s="154"/>
      <c r="S4" s="50"/>
      <c r="T4" s="154"/>
      <c r="U4" s="45" t="s">
        <v>164</v>
      </c>
      <c r="V4" s="153">
        <f>1260+1840+400</f>
        <v>3500</v>
      </c>
      <c r="W4" s="45" t="s">
        <v>55</v>
      </c>
      <c r="X4" s="153">
        <f>1440+600</f>
        <v>2040</v>
      </c>
      <c r="Y4" s="50"/>
      <c r="Z4" s="51"/>
      <c r="AA4" s="50"/>
      <c r="AB4" s="51"/>
      <c r="AC4" s="50"/>
      <c r="AD4" s="51"/>
      <c r="AE4" s="129"/>
      <c r="AF4" s="51"/>
      <c r="AG4" s="50"/>
      <c r="AH4" s="51"/>
      <c r="AI4" s="50" t="s">
        <v>162</v>
      </c>
      <c r="AJ4" s="51">
        <v>100</v>
      </c>
      <c r="AK4" s="127"/>
      <c r="AL4" s="55"/>
      <c r="AM4" s="50"/>
      <c r="AN4" s="51"/>
      <c r="AO4" s="127"/>
      <c r="AP4" s="55"/>
      <c r="AQ4" s="117"/>
    </row>
    <row r="5" spans="1:43" ht="19.5" thickBot="1">
      <c r="A5" s="118"/>
      <c r="B5" s="145" t="s">
        <v>24</v>
      </c>
      <c r="C5" s="119"/>
      <c r="D5" s="124">
        <f>SUM(D4)</f>
        <v>0</v>
      </c>
      <c r="E5" s="119"/>
      <c r="F5" s="120">
        <f>SUM(F4)</f>
        <v>800</v>
      </c>
      <c r="G5" s="121"/>
      <c r="H5" s="122">
        <f>SUM(H4)</f>
        <v>15800</v>
      </c>
      <c r="I5" s="121"/>
      <c r="J5" s="122">
        <f>SUM(J4)</f>
        <v>1335</v>
      </c>
      <c r="K5" s="120"/>
      <c r="L5" s="122">
        <f>SUM(L4)</f>
        <v>0</v>
      </c>
      <c r="M5" s="121"/>
      <c r="N5" s="122">
        <f>SUM(N4)</f>
        <v>26590</v>
      </c>
      <c r="O5" s="123"/>
      <c r="P5" s="122">
        <f>SUM(P4)</f>
        <v>390</v>
      </c>
      <c r="Q5" s="124"/>
      <c r="R5" s="125">
        <f>SUM(R4)</f>
        <v>0</v>
      </c>
      <c r="S5" s="123"/>
      <c r="T5" s="122">
        <f>SUM(T4)</f>
        <v>0</v>
      </c>
      <c r="U5" s="121"/>
      <c r="V5" s="122">
        <f>SUM(V4)</f>
        <v>3500</v>
      </c>
      <c r="W5" s="122"/>
      <c r="X5" s="122">
        <f>SUM(X4)</f>
        <v>2040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0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100</v>
      </c>
      <c r="AK5" s="122"/>
      <c r="AL5" s="122">
        <f>SUM(AL4)</f>
        <v>0</v>
      </c>
      <c r="AM5" s="122"/>
      <c r="AN5" s="122">
        <f>SUM(AN4)</f>
        <v>0</v>
      </c>
      <c r="AO5" s="122"/>
      <c r="AP5" s="122">
        <f>SUM(AP4)</f>
        <v>0</v>
      </c>
      <c r="AQ5" s="126">
        <f>SUM(F5:AP5)</f>
        <v>50555</v>
      </c>
    </row>
  </sheetData>
  <mergeCells count="1">
    <mergeCell ref="A2:AQ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Q5"/>
  <sheetViews>
    <sheetView topLeftCell="I1" zoomScale="75" zoomScaleNormal="75" workbookViewId="0">
      <selection activeCell="P11" sqref="P11"/>
    </sheetView>
  </sheetViews>
  <sheetFormatPr defaultRowHeight="18.75"/>
  <cols>
    <col min="1" max="1" width="9.140625" style="38"/>
    <col min="2" max="2" width="15" style="38" customWidth="1"/>
    <col min="3" max="3" width="12.7109375" style="38" customWidth="1"/>
    <col min="4" max="4" width="13.5703125" style="38" customWidth="1"/>
    <col min="5" max="5" width="12.140625" style="38" hidden="1" customWidth="1"/>
    <col min="6" max="6" width="0" style="38" hidden="1" customWidth="1"/>
    <col min="7" max="7" width="13.85546875" style="38" customWidth="1"/>
    <col min="8" max="8" width="13.5703125" style="38" customWidth="1"/>
    <col min="9" max="9" width="16" style="38" customWidth="1"/>
    <col min="10" max="10" width="11" style="38" customWidth="1"/>
    <col min="11" max="14" width="9.140625" style="38" hidden="1" customWidth="1"/>
    <col min="15" max="15" width="14.140625" style="38" customWidth="1"/>
    <col min="16" max="16" width="13.28515625" style="38" customWidth="1"/>
    <col min="17" max="18" width="9.140625" style="38" hidden="1" customWidth="1"/>
    <col min="19" max="19" width="16.42578125" style="38" customWidth="1"/>
    <col min="20" max="20" width="12.42578125" style="38" customWidth="1"/>
    <col min="21" max="22" width="0" style="38" hidden="1" customWidth="1"/>
    <col min="23" max="23" width="14.85546875" style="38" customWidth="1"/>
    <col min="24" max="24" width="11" style="38" customWidth="1"/>
    <col min="25" max="34" width="0" style="38" hidden="1" customWidth="1"/>
    <col min="35" max="35" width="12.42578125" style="38" customWidth="1"/>
    <col min="36" max="36" width="10.28515625" style="38" customWidth="1"/>
    <col min="37" max="38" width="0" style="38" hidden="1" customWidth="1"/>
    <col min="39" max="39" width="10.85546875" style="38" customWidth="1"/>
    <col min="40" max="40" width="10" style="38" bestFit="1" customWidth="1"/>
    <col min="41" max="42" width="0" style="38" hidden="1" customWidth="1"/>
    <col min="43" max="43" width="18.28515625" style="38" customWidth="1"/>
    <col min="44" max="16384" width="9.140625" style="38"/>
  </cols>
  <sheetData>
    <row r="2" spans="1:43" ht="39" customHeight="1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2"/>
    </row>
    <row r="3" spans="1:43" ht="62.25" customHeight="1" thickBot="1">
      <c r="A3" s="39" t="s">
        <v>1</v>
      </c>
      <c r="B3" s="40" t="s">
        <v>2</v>
      </c>
      <c r="C3" s="40"/>
      <c r="D3" s="41" t="s">
        <v>4</v>
      </c>
      <c r="E3" s="40" t="s">
        <v>118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151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175</v>
      </c>
      <c r="AN3" s="42" t="s">
        <v>4</v>
      </c>
      <c r="AO3" s="46" t="s">
        <v>137</v>
      </c>
      <c r="AP3" s="42" t="s">
        <v>4</v>
      </c>
      <c r="AQ3" s="47" t="s">
        <v>21</v>
      </c>
    </row>
    <row r="4" spans="1:43" s="63" customFormat="1" ht="191.25" customHeight="1" thickBot="1">
      <c r="A4" s="104">
        <v>1</v>
      </c>
      <c r="B4" s="105" t="s">
        <v>168</v>
      </c>
      <c r="C4" s="158" t="s">
        <v>170</v>
      </c>
      <c r="D4" s="55">
        <v>6070</v>
      </c>
      <c r="E4" s="45"/>
      <c r="F4" s="153"/>
      <c r="G4" s="45" t="s">
        <v>173</v>
      </c>
      <c r="H4" s="53">
        <f>15998+3940</f>
        <v>19938</v>
      </c>
      <c r="I4" s="45" t="s">
        <v>172</v>
      </c>
      <c r="J4" s="53">
        <f>168+124+45+28</f>
        <v>365</v>
      </c>
      <c r="K4" s="127"/>
      <c r="L4" s="74"/>
      <c r="M4" s="45"/>
      <c r="N4" s="153"/>
      <c r="O4" s="45" t="s">
        <v>176</v>
      </c>
      <c r="P4" s="53">
        <f>248+232+151</f>
        <v>631</v>
      </c>
      <c r="Q4" s="50"/>
      <c r="R4" s="154"/>
      <c r="S4" s="45" t="s">
        <v>169</v>
      </c>
      <c r="T4" s="53">
        <v>2980.5</v>
      </c>
      <c r="U4" s="45"/>
      <c r="V4" s="153"/>
      <c r="W4" s="127" t="s">
        <v>171</v>
      </c>
      <c r="X4" s="55">
        <v>420</v>
      </c>
      <c r="Y4" s="50"/>
      <c r="Z4" s="51"/>
      <c r="AA4" s="50"/>
      <c r="AB4" s="51"/>
      <c r="AC4" s="50"/>
      <c r="AD4" s="51"/>
      <c r="AE4" s="129"/>
      <c r="AF4" s="51"/>
      <c r="AG4" s="50"/>
      <c r="AH4" s="51"/>
      <c r="AI4" s="50"/>
      <c r="AJ4" s="51"/>
      <c r="AK4" s="127"/>
      <c r="AL4" s="55"/>
      <c r="AM4" s="50" t="s">
        <v>174</v>
      </c>
      <c r="AN4" s="51">
        <v>4092</v>
      </c>
      <c r="AO4" s="127"/>
      <c r="AP4" s="55"/>
      <c r="AQ4" s="117"/>
    </row>
    <row r="5" spans="1:43" ht="38.25" thickBot="1">
      <c r="A5" s="118"/>
      <c r="B5" s="145" t="s">
        <v>24</v>
      </c>
      <c r="C5" s="119"/>
      <c r="D5" s="124">
        <f>SUM(D4)</f>
        <v>6070</v>
      </c>
      <c r="E5" s="119"/>
      <c r="F5" s="120">
        <f>SUM(F4)</f>
        <v>0</v>
      </c>
      <c r="G5" s="121"/>
      <c r="H5" s="122">
        <f>SUM(H4)</f>
        <v>19938</v>
      </c>
      <c r="I5" s="121"/>
      <c r="J5" s="122">
        <f>SUM(J4)</f>
        <v>365</v>
      </c>
      <c r="K5" s="120"/>
      <c r="L5" s="122">
        <f>SUM(L4)</f>
        <v>0</v>
      </c>
      <c r="M5" s="121"/>
      <c r="N5" s="122">
        <f>SUM(N4)</f>
        <v>0</v>
      </c>
      <c r="O5" s="123"/>
      <c r="P5" s="122">
        <f>SUM(P4)</f>
        <v>631</v>
      </c>
      <c r="Q5" s="124"/>
      <c r="R5" s="125">
        <f>SUM(R4)</f>
        <v>0</v>
      </c>
      <c r="S5" s="123"/>
      <c r="T5" s="122">
        <f>SUM(T4)</f>
        <v>2980.5</v>
      </c>
      <c r="U5" s="121"/>
      <c r="V5" s="122">
        <f>SUM(V4)</f>
        <v>0</v>
      </c>
      <c r="W5" s="122"/>
      <c r="X5" s="122">
        <f>SUM(X4)</f>
        <v>420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0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0</v>
      </c>
      <c r="AK5" s="122"/>
      <c r="AL5" s="122">
        <f>SUM(AL4)</f>
        <v>0</v>
      </c>
      <c r="AM5" s="122"/>
      <c r="AN5" s="122">
        <f>SUM(AN4)</f>
        <v>4092</v>
      </c>
      <c r="AO5" s="122"/>
      <c r="AP5" s="122">
        <f>SUM(AP4)</f>
        <v>0</v>
      </c>
      <c r="AQ5" s="126">
        <f>SUM(D5:AP5)</f>
        <v>34496.5</v>
      </c>
    </row>
  </sheetData>
  <mergeCells count="1">
    <mergeCell ref="A2:AQ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Q5"/>
  <sheetViews>
    <sheetView tabSelected="1" zoomScale="75" zoomScaleNormal="75" workbookViewId="0">
      <selection activeCell="M15" sqref="M14:M15"/>
    </sheetView>
  </sheetViews>
  <sheetFormatPr defaultRowHeight="18.75"/>
  <cols>
    <col min="1" max="1" width="9.140625" style="38"/>
    <col min="2" max="2" width="14.42578125" style="38" customWidth="1"/>
    <col min="3" max="3" width="0" style="38" hidden="1" customWidth="1"/>
    <col min="4" max="4" width="0.140625" style="38" customWidth="1"/>
    <col min="5" max="5" width="16" style="38" customWidth="1"/>
    <col min="6" max="6" width="12.7109375" style="38" customWidth="1"/>
    <col min="7" max="8" width="9.140625" style="38" hidden="1" customWidth="1"/>
    <col min="9" max="9" width="15" style="38" customWidth="1"/>
    <col min="10" max="10" width="12" style="38" customWidth="1"/>
    <col min="11" max="11" width="19.42578125" style="38" customWidth="1"/>
    <col min="12" max="12" width="11.42578125" style="38" customWidth="1"/>
    <col min="13" max="13" width="18.7109375" style="38" customWidth="1"/>
    <col min="14" max="14" width="12.5703125" style="38" customWidth="1"/>
    <col min="15" max="15" width="23.140625" style="38" customWidth="1"/>
    <col min="16" max="16" width="12.140625" style="38" customWidth="1"/>
    <col min="17" max="18" width="9.140625" style="38" hidden="1" customWidth="1"/>
    <col min="19" max="19" width="20" style="38" customWidth="1"/>
    <col min="20" max="20" width="16.5703125" style="38" customWidth="1"/>
    <col min="21" max="42" width="0" style="38" hidden="1" customWidth="1"/>
    <col min="43" max="43" width="16.7109375" style="38" customWidth="1"/>
    <col min="44" max="16384" width="9.140625" style="38"/>
  </cols>
  <sheetData>
    <row r="2" spans="1:43" ht="39" customHeight="1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2"/>
    </row>
    <row r="3" spans="1:43" ht="62.25" customHeight="1" thickBot="1">
      <c r="A3" s="39" t="s">
        <v>1</v>
      </c>
      <c r="B3" s="40" t="s">
        <v>2</v>
      </c>
      <c r="C3" s="40"/>
      <c r="D3" s="41" t="s">
        <v>4</v>
      </c>
      <c r="E3" s="40" t="s">
        <v>118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183</v>
      </c>
      <c r="R3" s="42" t="s">
        <v>4</v>
      </c>
      <c r="S3" s="40" t="s">
        <v>127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175</v>
      </c>
      <c r="AN3" s="42" t="s">
        <v>4</v>
      </c>
      <c r="AO3" s="46" t="s">
        <v>137</v>
      </c>
      <c r="AP3" s="42" t="s">
        <v>4</v>
      </c>
      <c r="AQ3" s="47" t="s">
        <v>21</v>
      </c>
    </row>
    <row r="4" spans="1:43" s="63" customFormat="1" ht="162" customHeight="1" thickBot="1">
      <c r="A4" s="104">
        <v>1</v>
      </c>
      <c r="B4" s="105" t="s">
        <v>177</v>
      </c>
      <c r="C4" s="159"/>
      <c r="D4" s="160"/>
      <c r="E4" s="73" t="s">
        <v>179</v>
      </c>
      <c r="F4" s="60">
        <v>2799</v>
      </c>
      <c r="G4" s="73"/>
      <c r="H4" s="60"/>
      <c r="I4" s="73" t="s">
        <v>184</v>
      </c>
      <c r="J4" s="60">
        <v>183.8</v>
      </c>
      <c r="K4" s="73" t="s">
        <v>182</v>
      </c>
      <c r="L4" s="60">
        <f>7504+56+5</f>
        <v>7565</v>
      </c>
      <c r="M4" s="73" t="s">
        <v>180</v>
      </c>
      <c r="N4" s="60">
        <f>5000+10260</f>
        <v>15260</v>
      </c>
      <c r="O4" s="73" t="s">
        <v>181</v>
      </c>
      <c r="P4" s="60">
        <f>394+390.75+184.75+1018.25+362.1+599.75</f>
        <v>2949.6</v>
      </c>
      <c r="Q4" s="156"/>
      <c r="R4" s="161"/>
      <c r="S4" s="73" t="s">
        <v>178</v>
      </c>
      <c r="T4" s="60">
        <v>630</v>
      </c>
      <c r="U4" s="73"/>
      <c r="V4" s="61"/>
      <c r="W4" s="162"/>
      <c r="X4" s="160"/>
      <c r="Y4" s="156"/>
      <c r="Z4" s="163"/>
      <c r="AA4" s="156"/>
      <c r="AB4" s="163"/>
      <c r="AC4" s="156"/>
      <c r="AD4" s="163"/>
      <c r="AE4" s="164"/>
      <c r="AF4" s="163"/>
      <c r="AG4" s="156"/>
      <c r="AH4" s="163"/>
      <c r="AI4" s="156"/>
      <c r="AJ4" s="163"/>
      <c r="AK4" s="162"/>
      <c r="AL4" s="160"/>
      <c r="AM4" s="156"/>
      <c r="AN4" s="163"/>
      <c r="AO4" s="162"/>
      <c r="AP4" s="160"/>
      <c r="AQ4" s="117"/>
    </row>
    <row r="5" spans="1:43" ht="19.5" thickBot="1">
      <c r="A5" s="118"/>
      <c r="B5" s="145" t="s">
        <v>24</v>
      </c>
      <c r="C5" s="119"/>
      <c r="D5" s="124">
        <f>SUM(D4)</f>
        <v>0</v>
      </c>
      <c r="E5" s="119"/>
      <c r="F5" s="120">
        <f>SUM(F4)</f>
        <v>2799</v>
      </c>
      <c r="G5" s="121"/>
      <c r="H5" s="122">
        <f>SUM(H4)</f>
        <v>0</v>
      </c>
      <c r="I5" s="121"/>
      <c r="J5" s="122">
        <f>SUM(J4)</f>
        <v>183.8</v>
      </c>
      <c r="K5" s="120"/>
      <c r="L5" s="122">
        <f>SUM(L4)</f>
        <v>7565</v>
      </c>
      <c r="M5" s="121"/>
      <c r="N5" s="122">
        <f>SUM(N4)</f>
        <v>15260</v>
      </c>
      <c r="O5" s="123"/>
      <c r="P5" s="122">
        <f>SUM(P4)</f>
        <v>2949.6</v>
      </c>
      <c r="Q5" s="124"/>
      <c r="R5" s="125">
        <f>SUM(R4)</f>
        <v>0</v>
      </c>
      <c r="S5" s="123"/>
      <c r="T5" s="122">
        <f>SUM(T4)</f>
        <v>630</v>
      </c>
      <c r="U5" s="121"/>
      <c r="V5" s="122">
        <f>SUM(V4)</f>
        <v>0</v>
      </c>
      <c r="W5" s="122"/>
      <c r="X5" s="122">
        <f>SUM(X4)</f>
        <v>0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0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0</v>
      </c>
      <c r="AK5" s="122"/>
      <c r="AL5" s="122">
        <f>SUM(AL4)</f>
        <v>0</v>
      </c>
      <c r="AM5" s="122"/>
      <c r="AN5" s="122">
        <f>SUM(AN4)</f>
        <v>0</v>
      </c>
      <c r="AO5" s="122"/>
      <c r="AP5" s="122">
        <f>SUM(AP4)</f>
        <v>0</v>
      </c>
      <c r="AQ5" s="126">
        <f>SUM(D5:AP5)</f>
        <v>29387.399999999998</v>
      </c>
    </row>
  </sheetData>
  <mergeCells count="1">
    <mergeCell ref="A2:AQ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Q4"/>
  <sheetViews>
    <sheetView zoomScale="75" zoomScaleNormal="75" workbookViewId="0">
      <pane xSplit="18840" topLeftCell="AQ1"/>
      <selection activeCell="A4" sqref="A4:AQ4"/>
      <selection pane="topRight" activeCell="AI1" sqref="AI1"/>
    </sheetView>
  </sheetViews>
  <sheetFormatPr defaultRowHeight="18.75"/>
  <cols>
    <col min="1" max="1" width="9.140625" style="38"/>
    <col min="2" max="2" width="13" style="38" customWidth="1"/>
    <col min="3" max="6" width="0" style="38" hidden="1" customWidth="1"/>
    <col min="7" max="7" width="16.42578125" style="38" customWidth="1"/>
    <col min="8" max="8" width="12.7109375" style="38" customWidth="1"/>
    <col min="9" max="9" width="18.140625" style="38" customWidth="1"/>
    <col min="10" max="10" width="13" style="38" customWidth="1"/>
    <col min="11" max="12" width="0" style="38" hidden="1" customWidth="1"/>
    <col min="13" max="13" width="21.85546875" style="38" customWidth="1"/>
    <col min="14" max="14" width="17.140625" style="38" customWidth="1"/>
    <col min="15" max="22" width="0" style="38" hidden="1" customWidth="1"/>
    <col min="23" max="23" width="15.28515625" style="38" customWidth="1"/>
    <col min="24" max="24" width="12" style="38" customWidth="1"/>
    <col min="25" max="28" width="0" style="38" hidden="1" customWidth="1"/>
    <col min="29" max="30" width="14.28515625" style="38" customWidth="1"/>
    <col min="31" max="42" width="0" style="38" hidden="1" customWidth="1"/>
    <col min="43" max="43" width="18.28515625" style="38" customWidth="1"/>
    <col min="44" max="16384" width="9.140625" style="38"/>
  </cols>
  <sheetData>
    <row r="1" spans="1:43" ht="39" customHeight="1" thickBot="1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2"/>
    </row>
    <row r="2" spans="1:43" ht="62.25" customHeight="1" thickBot="1">
      <c r="A2" s="39" t="s">
        <v>1</v>
      </c>
      <c r="B2" s="40" t="s">
        <v>2</v>
      </c>
      <c r="C2" s="40"/>
      <c r="D2" s="41" t="s">
        <v>4</v>
      </c>
      <c r="E2" s="40" t="s">
        <v>118</v>
      </c>
      <c r="F2" s="41" t="s">
        <v>4</v>
      </c>
      <c r="G2" s="41" t="s">
        <v>3</v>
      </c>
      <c r="H2" s="42" t="s">
        <v>4</v>
      </c>
      <c r="I2" s="40" t="s">
        <v>5</v>
      </c>
      <c r="J2" s="42" t="s">
        <v>4</v>
      </c>
      <c r="K2" s="43" t="s">
        <v>6</v>
      </c>
      <c r="L2" s="42" t="s">
        <v>4</v>
      </c>
      <c r="M2" s="41" t="s">
        <v>7</v>
      </c>
      <c r="N2" s="42" t="s">
        <v>4</v>
      </c>
      <c r="O2" s="40" t="s">
        <v>8</v>
      </c>
      <c r="P2" s="41" t="s">
        <v>4</v>
      </c>
      <c r="Q2" s="43" t="s">
        <v>183</v>
      </c>
      <c r="R2" s="42" t="s">
        <v>4</v>
      </c>
      <c r="S2" s="40" t="s">
        <v>127</v>
      </c>
      <c r="T2" s="42" t="s">
        <v>4</v>
      </c>
      <c r="U2" s="43" t="s">
        <v>11</v>
      </c>
      <c r="V2" s="44" t="s">
        <v>4</v>
      </c>
      <c r="W2" s="43" t="s">
        <v>12</v>
      </c>
      <c r="X2" s="42" t="s">
        <v>4</v>
      </c>
      <c r="Y2" s="43" t="s">
        <v>13</v>
      </c>
      <c r="Z2" s="42" t="s">
        <v>4</v>
      </c>
      <c r="AA2" s="43" t="s">
        <v>14</v>
      </c>
      <c r="AB2" s="42" t="s">
        <v>4</v>
      </c>
      <c r="AC2" s="43" t="s">
        <v>186</v>
      </c>
      <c r="AD2" s="42" t="s">
        <v>4</v>
      </c>
      <c r="AE2" s="43" t="s">
        <v>16</v>
      </c>
      <c r="AF2" s="42" t="s">
        <v>4</v>
      </c>
      <c r="AG2" s="43" t="s">
        <v>44</v>
      </c>
      <c r="AH2" s="42" t="s">
        <v>4</v>
      </c>
      <c r="AI2" s="42" t="s">
        <v>18</v>
      </c>
      <c r="AJ2" s="42" t="s">
        <v>4</v>
      </c>
      <c r="AK2" s="43" t="s">
        <v>19</v>
      </c>
      <c r="AL2" s="42" t="s">
        <v>4</v>
      </c>
      <c r="AM2" s="103" t="s">
        <v>175</v>
      </c>
      <c r="AN2" s="42" t="s">
        <v>4</v>
      </c>
      <c r="AO2" s="46" t="s">
        <v>137</v>
      </c>
      <c r="AP2" s="42" t="s">
        <v>4</v>
      </c>
      <c r="AQ2" s="47" t="s">
        <v>21</v>
      </c>
    </row>
    <row r="3" spans="1:43" s="63" customFormat="1" ht="197.25" customHeight="1" thickBot="1">
      <c r="A3" s="104">
        <v>1</v>
      </c>
      <c r="B3" s="105" t="s">
        <v>185</v>
      </c>
      <c r="C3" s="159"/>
      <c r="D3" s="160"/>
      <c r="E3" s="73"/>
      <c r="F3" s="60"/>
      <c r="G3" s="165" t="s">
        <v>187</v>
      </c>
      <c r="H3" s="166">
        <f>200+1000+200</f>
        <v>1400</v>
      </c>
      <c r="I3" s="165" t="s">
        <v>189</v>
      </c>
      <c r="J3" s="166">
        <f>450+2550</f>
        <v>3000</v>
      </c>
      <c r="K3" s="73"/>
      <c r="L3" s="60"/>
      <c r="M3" s="165" t="s">
        <v>188</v>
      </c>
      <c r="N3" s="166">
        <v>2110</v>
      </c>
      <c r="O3" s="73"/>
      <c r="P3" s="60"/>
      <c r="Q3" s="156"/>
      <c r="R3" s="161"/>
      <c r="S3" s="73"/>
      <c r="T3" s="60"/>
      <c r="U3" s="73"/>
      <c r="V3" s="61"/>
      <c r="W3" s="165" t="s">
        <v>68</v>
      </c>
      <c r="X3" s="167">
        <v>5400</v>
      </c>
      <c r="Y3" s="156"/>
      <c r="Z3" s="163"/>
      <c r="AA3" s="156"/>
      <c r="AB3" s="163"/>
      <c r="AC3" s="165" t="s">
        <v>186</v>
      </c>
      <c r="AD3" s="166">
        <v>170</v>
      </c>
      <c r="AE3" s="164"/>
      <c r="AF3" s="163"/>
      <c r="AG3" s="156"/>
      <c r="AH3" s="163"/>
      <c r="AI3" s="156"/>
      <c r="AJ3" s="163"/>
      <c r="AK3" s="162"/>
      <c r="AL3" s="160"/>
      <c r="AM3" s="156"/>
      <c r="AN3" s="163"/>
      <c r="AO3" s="162"/>
      <c r="AP3" s="160"/>
      <c r="AQ3" s="117"/>
    </row>
    <row r="4" spans="1:43" ht="19.5" thickBot="1">
      <c r="A4" s="118"/>
      <c r="B4" s="145" t="s">
        <v>24</v>
      </c>
      <c r="C4" s="119"/>
      <c r="D4" s="124">
        <f>SUM(D3)</f>
        <v>0</v>
      </c>
      <c r="E4" s="119"/>
      <c r="F4" s="120">
        <f>SUM(F3)</f>
        <v>0</v>
      </c>
      <c r="G4" s="121"/>
      <c r="H4" s="122">
        <f>SUM(H3)</f>
        <v>1400</v>
      </c>
      <c r="I4" s="121"/>
      <c r="J4" s="122">
        <f>SUM(J3)</f>
        <v>3000</v>
      </c>
      <c r="K4" s="120"/>
      <c r="L4" s="122">
        <f>SUM(L3)</f>
        <v>0</v>
      </c>
      <c r="M4" s="121"/>
      <c r="N4" s="122">
        <f>SUM(N3)</f>
        <v>2110</v>
      </c>
      <c r="O4" s="123"/>
      <c r="P4" s="122">
        <f>SUM(P3)</f>
        <v>0</v>
      </c>
      <c r="Q4" s="124"/>
      <c r="R4" s="125">
        <f>SUM(R3)</f>
        <v>0</v>
      </c>
      <c r="S4" s="123"/>
      <c r="T4" s="122">
        <f>SUM(T3)</f>
        <v>0</v>
      </c>
      <c r="U4" s="121"/>
      <c r="V4" s="122">
        <f>SUM(V3)</f>
        <v>0</v>
      </c>
      <c r="W4" s="122"/>
      <c r="X4" s="122">
        <f>SUM(X3)</f>
        <v>5400</v>
      </c>
      <c r="Y4" s="122"/>
      <c r="Z4" s="122">
        <f>SUM(Z3)</f>
        <v>0</v>
      </c>
      <c r="AA4" s="122"/>
      <c r="AB4" s="122">
        <f>SUM(AB3)</f>
        <v>0</v>
      </c>
      <c r="AC4" s="122"/>
      <c r="AD4" s="122">
        <f>SUM(AD3)</f>
        <v>170</v>
      </c>
      <c r="AE4" s="122"/>
      <c r="AF4" s="122">
        <f>SUM(AF3)</f>
        <v>0</v>
      </c>
      <c r="AG4" s="122"/>
      <c r="AH4" s="122">
        <f>SUM(AH3)</f>
        <v>0</v>
      </c>
      <c r="AI4" s="122"/>
      <c r="AJ4" s="122">
        <f>SUM(AJ3)</f>
        <v>0</v>
      </c>
      <c r="AK4" s="122"/>
      <c r="AL4" s="122">
        <f>SUM(AL3)</f>
        <v>0</v>
      </c>
      <c r="AM4" s="122"/>
      <c r="AN4" s="122">
        <f>SUM(AN3)</f>
        <v>0</v>
      </c>
      <c r="AO4" s="122"/>
      <c r="AP4" s="122">
        <f>SUM(AP3)</f>
        <v>0</v>
      </c>
      <c r="AQ4" s="126">
        <f>SUM(D4:AP4)</f>
        <v>12080</v>
      </c>
    </row>
  </sheetData>
  <mergeCells count="1">
    <mergeCell ref="A1:AQ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Q5"/>
  <sheetViews>
    <sheetView zoomScale="75" zoomScaleNormal="75" workbookViewId="0">
      <selection activeCell="G16" sqref="G16"/>
    </sheetView>
  </sheetViews>
  <sheetFormatPr defaultRowHeight="15"/>
  <cols>
    <col min="2" max="2" width="14.28515625" customWidth="1"/>
    <col min="3" max="4" width="0" hidden="1" customWidth="1"/>
  </cols>
  <sheetData>
    <row r="2" spans="1:43" s="38" customFormat="1" ht="39" customHeight="1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2"/>
    </row>
    <row r="3" spans="1:43" s="38" customFormat="1" ht="62.25" customHeight="1" thickBot="1">
      <c r="A3" s="39" t="s">
        <v>1</v>
      </c>
      <c r="B3" s="40" t="s">
        <v>2</v>
      </c>
      <c r="C3" s="40"/>
      <c r="D3" s="41" t="s">
        <v>4</v>
      </c>
      <c r="E3" s="40" t="s">
        <v>118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183</v>
      </c>
      <c r="R3" s="42" t="s">
        <v>4</v>
      </c>
      <c r="S3" s="40" t="s">
        <v>127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186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175</v>
      </c>
      <c r="AN3" s="42" t="s">
        <v>4</v>
      </c>
      <c r="AO3" s="46" t="s">
        <v>137</v>
      </c>
      <c r="AP3" s="42" t="s">
        <v>4</v>
      </c>
      <c r="AQ3" s="47" t="s">
        <v>21</v>
      </c>
    </row>
    <row r="4" spans="1:43" s="63" customFormat="1" ht="105" customHeight="1" thickBot="1">
      <c r="A4" s="104">
        <v>1</v>
      </c>
      <c r="B4" s="105" t="s">
        <v>190</v>
      </c>
      <c r="C4" s="159"/>
      <c r="D4" s="160"/>
      <c r="E4" s="73"/>
      <c r="F4" s="60"/>
      <c r="G4" s="165"/>
      <c r="H4" s="166"/>
      <c r="I4" s="165"/>
      <c r="J4" s="166"/>
      <c r="K4" s="73"/>
      <c r="L4" s="60"/>
      <c r="M4" s="165"/>
      <c r="N4" s="166"/>
      <c r="O4" s="73"/>
      <c r="P4" s="60"/>
      <c r="Q4" s="156"/>
      <c r="R4" s="161"/>
      <c r="S4" s="73"/>
      <c r="T4" s="60"/>
      <c r="U4" s="73"/>
      <c r="V4" s="61"/>
      <c r="W4" s="165"/>
      <c r="X4" s="167"/>
      <c r="Y4" s="156"/>
      <c r="Z4" s="163"/>
      <c r="AA4" s="156"/>
      <c r="AB4" s="163"/>
      <c r="AC4" s="165"/>
      <c r="AD4" s="166"/>
      <c r="AE4" s="164"/>
      <c r="AF4" s="163"/>
      <c r="AG4" s="156"/>
      <c r="AH4" s="163"/>
      <c r="AI4" s="156"/>
      <c r="AJ4" s="163"/>
      <c r="AK4" s="162"/>
      <c r="AL4" s="160"/>
      <c r="AM4" s="156"/>
      <c r="AN4" s="163"/>
      <c r="AO4" s="162"/>
      <c r="AP4" s="160"/>
      <c r="AQ4" s="117"/>
    </row>
    <row r="5" spans="1:43" ht="38.25" thickBot="1">
      <c r="A5" s="118"/>
      <c r="B5" s="145" t="s">
        <v>24</v>
      </c>
      <c r="C5" s="119"/>
      <c r="D5" s="124">
        <f>SUM(D4)</f>
        <v>0</v>
      </c>
      <c r="E5" s="119"/>
      <c r="F5" s="120">
        <f>SUM(F4)</f>
        <v>0</v>
      </c>
      <c r="G5" s="121"/>
      <c r="H5" s="122">
        <f>SUM(H4)</f>
        <v>0</v>
      </c>
      <c r="I5" s="121"/>
      <c r="J5" s="122">
        <f>SUM(J4)</f>
        <v>0</v>
      </c>
      <c r="K5" s="120"/>
      <c r="L5" s="122">
        <f>SUM(L4)</f>
        <v>0</v>
      </c>
      <c r="M5" s="121"/>
      <c r="N5" s="122">
        <f>SUM(N4)</f>
        <v>0</v>
      </c>
      <c r="O5" s="123"/>
      <c r="P5" s="122">
        <f>SUM(P4)</f>
        <v>0</v>
      </c>
      <c r="Q5" s="124"/>
      <c r="R5" s="125">
        <f>SUM(R4)</f>
        <v>0</v>
      </c>
      <c r="S5" s="123"/>
      <c r="T5" s="122">
        <f>SUM(T4)</f>
        <v>0</v>
      </c>
      <c r="U5" s="121"/>
      <c r="V5" s="122">
        <f>SUM(V4)</f>
        <v>0</v>
      </c>
      <c r="W5" s="122"/>
      <c r="X5" s="122">
        <f>SUM(X4)</f>
        <v>0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0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0</v>
      </c>
      <c r="AK5" s="122"/>
      <c r="AL5" s="122">
        <f>SUM(AL4)</f>
        <v>0</v>
      </c>
      <c r="AM5" s="122"/>
      <c r="AN5" s="122">
        <f>SUM(AN4)</f>
        <v>0</v>
      </c>
      <c r="AO5" s="122"/>
      <c r="AP5" s="122">
        <f>SUM(AP4)</f>
        <v>0</v>
      </c>
      <c r="AQ5" s="126">
        <f>SUM(D5:AP5)</f>
        <v>0</v>
      </c>
    </row>
  </sheetData>
  <mergeCells count="1">
    <mergeCell ref="A2:A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"/>
  <sheetViews>
    <sheetView zoomScale="75" zoomScaleNormal="75" workbookViewId="0">
      <selection activeCell="G6" sqref="G6"/>
    </sheetView>
  </sheetViews>
  <sheetFormatPr defaultRowHeight="18.75"/>
  <cols>
    <col min="1" max="1" width="3" style="38" customWidth="1"/>
    <col min="2" max="2" width="18.28515625" style="38" customWidth="1"/>
    <col min="3" max="3" width="12.42578125" style="38" hidden="1" customWidth="1"/>
    <col min="4" max="6" width="0" style="38" hidden="1" customWidth="1"/>
    <col min="7" max="7" width="19.42578125" style="38" customWidth="1"/>
    <col min="8" max="8" width="11.28515625" style="38" customWidth="1"/>
    <col min="9" max="9" width="12.85546875" style="38" customWidth="1"/>
    <col min="10" max="10" width="15.5703125" style="38" customWidth="1"/>
    <col min="11" max="25" width="0" style="38" hidden="1" customWidth="1"/>
    <col min="26" max="26" width="11.85546875" style="38" hidden="1" customWidth="1"/>
    <col min="27" max="27" width="14.28515625" style="38" customWidth="1"/>
    <col min="28" max="28" width="13" style="38" customWidth="1"/>
    <col min="29" max="29" width="19.42578125" style="38" customWidth="1"/>
    <col min="30" max="30" width="17.7109375" style="38" customWidth="1"/>
    <col min="31" max="38" width="0" style="38" hidden="1" customWidth="1"/>
    <col min="39" max="39" width="17.5703125" style="38" customWidth="1"/>
    <col min="40" max="16384" width="9.140625" style="38"/>
  </cols>
  <sheetData>
    <row r="1" spans="1:39" ht="12.75" customHeight="1"/>
    <row r="2" spans="1:39" ht="24" thickBot="1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70"/>
    </row>
    <row r="3" spans="1:39" ht="45" customHeight="1" thickBot="1">
      <c r="A3" s="39" t="s">
        <v>1</v>
      </c>
      <c r="B3" s="40" t="s">
        <v>2</v>
      </c>
      <c r="C3" s="41" t="s">
        <v>3</v>
      </c>
      <c r="D3" s="42" t="s">
        <v>4</v>
      </c>
      <c r="E3" s="40" t="s">
        <v>5</v>
      </c>
      <c r="F3" s="42" t="s">
        <v>4</v>
      </c>
      <c r="G3" s="43" t="s">
        <v>6</v>
      </c>
      <c r="H3" s="42" t="s">
        <v>4</v>
      </c>
      <c r="I3" s="41" t="s">
        <v>7</v>
      </c>
      <c r="J3" s="42" t="s">
        <v>4</v>
      </c>
      <c r="K3" s="40" t="s">
        <v>8</v>
      </c>
      <c r="L3" s="41" t="s">
        <v>4</v>
      </c>
      <c r="M3" s="43" t="s">
        <v>9</v>
      </c>
      <c r="N3" s="42" t="s">
        <v>4</v>
      </c>
      <c r="O3" s="43" t="s">
        <v>10</v>
      </c>
      <c r="P3" s="42" t="s">
        <v>4</v>
      </c>
      <c r="Q3" s="43" t="s">
        <v>11</v>
      </c>
      <c r="R3" s="44" t="s">
        <v>4</v>
      </c>
      <c r="S3" s="43" t="s">
        <v>12</v>
      </c>
      <c r="T3" s="42" t="s">
        <v>4</v>
      </c>
      <c r="U3" s="43" t="s">
        <v>13</v>
      </c>
      <c r="V3" s="42" t="s">
        <v>4</v>
      </c>
      <c r="W3" s="43" t="s">
        <v>14</v>
      </c>
      <c r="X3" s="42" t="s">
        <v>4</v>
      </c>
      <c r="Y3" s="43" t="s">
        <v>15</v>
      </c>
      <c r="Z3" s="42" t="s">
        <v>4</v>
      </c>
      <c r="AA3" s="43" t="s">
        <v>16</v>
      </c>
      <c r="AB3" s="42" t="s">
        <v>4</v>
      </c>
      <c r="AC3" s="43" t="s">
        <v>17</v>
      </c>
      <c r="AD3" s="42" t="s">
        <v>4</v>
      </c>
      <c r="AE3" s="42" t="s">
        <v>18</v>
      </c>
      <c r="AF3" s="42" t="s">
        <v>4</v>
      </c>
      <c r="AG3" s="43" t="s">
        <v>19</v>
      </c>
      <c r="AH3" s="42" t="s">
        <v>4</v>
      </c>
      <c r="AI3" s="45" t="s">
        <v>26</v>
      </c>
      <c r="AJ3" s="42" t="s">
        <v>4</v>
      </c>
      <c r="AK3" s="46" t="s">
        <v>20</v>
      </c>
      <c r="AL3" s="42" t="s">
        <v>4</v>
      </c>
      <c r="AM3" s="47" t="s">
        <v>21</v>
      </c>
    </row>
    <row r="4" spans="1:39" s="63" customFormat="1" ht="90.75" customHeight="1">
      <c r="A4" s="48">
        <v>1</v>
      </c>
      <c r="B4" s="49" t="s">
        <v>38</v>
      </c>
      <c r="C4" s="50"/>
      <c r="D4" s="51"/>
      <c r="E4" s="52"/>
      <c r="F4" s="53"/>
      <c r="G4" s="73" t="s">
        <v>192</v>
      </c>
      <c r="H4" s="60">
        <v>9571</v>
      </c>
      <c r="I4" s="73" t="s">
        <v>193</v>
      </c>
      <c r="J4" s="60">
        <v>1958</v>
      </c>
      <c r="K4" s="56"/>
      <c r="L4" s="57"/>
      <c r="M4" s="58"/>
      <c r="N4" s="59"/>
      <c r="O4" s="56"/>
      <c r="P4" s="60"/>
      <c r="Q4" s="48"/>
      <c r="R4" s="60"/>
      <c r="S4" s="60"/>
      <c r="T4" s="60"/>
      <c r="U4" s="54"/>
      <c r="V4" s="53"/>
      <c r="W4" s="45"/>
      <c r="X4" s="53"/>
      <c r="Y4" s="61"/>
      <c r="Z4" s="60"/>
      <c r="AA4" s="73" t="s">
        <v>40</v>
      </c>
      <c r="AB4" s="74">
        <v>300</v>
      </c>
      <c r="AC4" s="73" t="s">
        <v>39</v>
      </c>
      <c r="AD4" s="60">
        <v>85</v>
      </c>
      <c r="AE4" s="60"/>
      <c r="AF4" s="60"/>
      <c r="AG4" s="60"/>
      <c r="AH4" s="60"/>
      <c r="AI4" s="45"/>
      <c r="AJ4" s="53"/>
      <c r="AK4" s="61"/>
      <c r="AL4" s="60"/>
      <c r="AM4" s="62"/>
    </row>
    <row r="5" spans="1:39">
      <c r="A5" s="64"/>
      <c r="B5" s="65" t="s">
        <v>24</v>
      </c>
      <c r="C5" s="64"/>
      <c r="D5" s="66">
        <f>SUM(D4)</f>
        <v>0</v>
      </c>
      <c r="E5" s="64"/>
      <c r="F5" s="66">
        <f>SUM(F4)</f>
        <v>0</v>
      </c>
      <c r="G5" s="67"/>
      <c r="H5" s="66">
        <f>SUM(H4)</f>
        <v>9571</v>
      </c>
      <c r="I5" s="64"/>
      <c r="J5" s="66">
        <f>SUM(J4)</f>
        <v>1958</v>
      </c>
      <c r="K5" s="68"/>
      <c r="L5" s="69"/>
      <c r="M5" s="70"/>
      <c r="N5" s="71"/>
      <c r="O5" s="68"/>
      <c r="P5" s="66"/>
      <c r="Q5" s="64"/>
      <c r="R5" s="66"/>
      <c r="S5" s="66"/>
      <c r="T5" s="66"/>
      <c r="U5" s="66"/>
      <c r="V5" s="66">
        <f>SUM(V4)</f>
        <v>0</v>
      </c>
      <c r="W5" s="66"/>
      <c r="X5" s="66">
        <f>SUM(X4)</f>
        <v>0</v>
      </c>
      <c r="Y5" s="66"/>
      <c r="Z5" s="66">
        <f>SUM(Z4)</f>
        <v>0</v>
      </c>
      <c r="AA5" s="66"/>
      <c r="AB5" s="66">
        <f>SUM(AB4)</f>
        <v>300</v>
      </c>
      <c r="AC5" s="66"/>
      <c r="AD5" s="66">
        <f>SUM(AD4)</f>
        <v>85</v>
      </c>
      <c r="AE5" s="66"/>
      <c r="AF5" s="66">
        <f>SUM(AF4)</f>
        <v>0</v>
      </c>
      <c r="AG5" s="66"/>
      <c r="AH5" s="66"/>
      <c r="AI5" s="66"/>
      <c r="AJ5" s="66">
        <f>SUM(AJ4)</f>
        <v>0</v>
      </c>
      <c r="AK5" s="66"/>
      <c r="AL5" s="66">
        <f>SUM(AL4)</f>
        <v>0</v>
      </c>
      <c r="AM5" s="72">
        <f>SUM(D5:AL5)</f>
        <v>11914</v>
      </c>
    </row>
  </sheetData>
  <mergeCells count="1">
    <mergeCell ref="A2:AM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M6"/>
  <sheetViews>
    <sheetView zoomScale="75" zoomScaleNormal="75" workbookViewId="0">
      <selection activeCell="F16" sqref="F16"/>
    </sheetView>
  </sheetViews>
  <sheetFormatPr defaultRowHeight="15"/>
  <cols>
    <col min="2" max="2" width="21.28515625" customWidth="1"/>
    <col min="8" max="35" width="0" hidden="1" customWidth="1"/>
  </cols>
  <sheetData>
    <row r="2" spans="1:39" s="38" customFormat="1" ht="20.25" thickBot="1">
      <c r="A2" s="137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9"/>
    </row>
    <row r="3" spans="1:39" s="38" customFormat="1" ht="45" customHeight="1" thickBot="1">
      <c r="A3" s="39" t="s">
        <v>1</v>
      </c>
      <c r="B3" s="40" t="s">
        <v>2</v>
      </c>
      <c r="C3" s="41" t="s">
        <v>3</v>
      </c>
      <c r="D3" s="42" t="s">
        <v>4</v>
      </c>
      <c r="E3" s="40" t="s">
        <v>5</v>
      </c>
      <c r="F3" s="42" t="s">
        <v>4</v>
      </c>
      <c r="G3" s="43" t="s">
        <v>6</v>
      </c>
      <c r="H3" s="42" t="s">
        <v>4</v>
      </c>
      <c r="I3" s="41" t="s">
        <v>7</v>
      </c>
      <c r="J3" s="42" t="s">
        <v>4</v>
      </c>
      <c r="K3" s="40" t="s">
        <v>8</v>
      </c>
      <c r="L3" s="41" t="s">
        <v>4</v>
      </c>
      <c r="M3" s="43" t="s">
        <v>9</v>
      </c>
      <c r="N3" s="42" t="s">
        <v>4</v>
      </c>
      <c r="O3" s="43" t="s">
        <v>10</v>
      </c>
      <c r="P3" s="42" t="s">
        <v>4</v>
      </c>
      <c r="Q3" s="43" t="s">
        <v>11</v>
      </c>
      <c r="R3" s="44" t="s">
        <v>4</v>
      </c>
      <c r="S3" s="43" t="s">
        <v>12</v>
      </c>
      <c r="T3" s="42" t="s">
        <v>4</v>
      </c>
      <c r="U3" s="43" t="s">
        <v>13</v>
      </c>
      <c r="V3" s="42" t="s">
        <v>4</v>
      </c>
      <c r="W3" s="43" t="s">
        <v>14</v>
      </c>
      <c r="X3" s="42" t="s">
        <v>4</v>
      </c>
      <c r="Y3" s="43" t="s">
        <v>15</v>
      </c>
      <c r="Z3" s="42" t="s">
        <v>4</v>
      </c>
      <c r="AA3" s="43" t="s">
        <v>16</v>
      </c>
      <c r="AB3" s="42" t="s">
        <v>4</v>
      </c>
      <c r="AC3" s="43" t="s">
        <v>17</v>
      </c>
      <c r="AD3" s="42" t="s">
        <v>4</v>
      </c>
      <c r="AE3" s="42" t="s">
        <v>18</v>
      </c>
      <c r="AF3" s="42" t="s">
        <v>4</v>
      </c>
      <c r="AG3" s="43" t="s">
        <v>19</v>
      </c>
      <c r="AH3" s="42" t="s">
        <v>4</v>
      </c>
      <c r="AI3" s="45" t="s">
        <v>26</v>
      </c>
      <c r="AJ3" s="42" t="s">
        <v>4</v>
      </c>
      <c r="AK3" s="46" t="s">
        <v>20</v>
      </c>
      <c r="AL3" s="42" t="s">
        <v>4</v>
      </c>
      <c r="AM3" s="47" t="s">
        <v>21</v>
      </c>
    </row>
    <row r="4" spans="1:39" s="63" customFormat="1" ht="90.75" customHeight="1">
      <c r="A4" s="48">
        <v>1</v>
      </c>
      <c r="B4" s="49" t="s">
        <v>41</v>
      </c>
      <c r="C4" s="50"/>
      <c r="D4" s="51"/>
      <c r="E4" s="52"/>
      <c r="F4" s="53"/>
      <c r="G4" s="73"/>
      <c r="H4" s="60"/>
      <c r="I4" s="57"/>
      <c r="J4" s="60"/>
      <c r="K4" s="56"/>
      <c r="L4" s="57"/>
      <c r="M4" s="58"/>
      <c r="N4" s="59"/>
      <c r="O4" s="56"/>
      <c r="P4" s="60"/>
      <c r="Q4" s="48"/>
      <c r="R4" s="60"/>
      <c r="S4" s="60"/>
      <c r="T4" s="60"/>
      <c r="U4" s="54"/>
      <c r="V4" s="53"/>
      <c r="W4" s="45"/>
      <c r="X4" s="53"/>
      <c r="Y4" s="61"/>
      <c r="Z4" s="60"/>
      <c r="AA4" s="73"/>
      <c r="AB4" s="74"/>
      <c r="AC4" s="73"/>
      <c r="AD4" s="60"/>
      <c r="AE4" s="60"/>
      <c r="AF4" s="60"/>
      <c r="AG4" s="60"/>
      <c r="AH4" s="60"/>
      <c r="AI4" s="45"/>
      <c r="AJ4" s="53"/>
      <c r="AK4" s="61"/>
      <c r="AL4" s="60"/>
      <c r="AM4" s="62"/>
    </row>
    <row r="5" spans="1:39" s="38" customFormat="1" ht="18.75">
      <c r="A5" s="64"/>
      <c r="B5" s="65" t="s">
        <v>24</v>
      </c>
      <c r="C5" s="64"/>
      <c r="D5" s="66">
        <f>SUM(D4)</f>
        <v>0</v>
      </c>
      <c r="E5" s="64"/>
      <c r="F5" s="66">
        <f>SUM(F4)</f>
        <v>0</v>
      </c>
      <c r="G5" s="67"/>
      <c r="H5" s="66">
        <f>SUM(H4)</f>
        <v>0</v>
      </c>
      <c r="I5" s="64"/>
      <c r="J5" s="66">
        <f>SUM(J4)</f>
        <v>0</v>
      </c>
      <c r="K5" s="68"/>
      <c r="L5" s="69"/>
      <c r="M5" s="70"/>
      <c r="N5" s="71"/>
      <c r="O5" s="68"/>
      <c r="P5" s="66"/>
      <c r="Q5" s="64"/>
      <c r="R5" s="66"/>
      <c r="S5" s="66"/>
      <c r="T5" s="66"/>
      <c r="U5" s="66"/>
      <c r="V5" s="66">
        <f>SUM(V4)</f>
        <v>0</v>
      </c>
      <c r="W5" s="66"/>
      <c r="X5" s="66">
        <f>SUM(X4)</f>
        <v>0</v>
      </c>
      <c r="Y5" s="66"/>
      <c r="Z5" s="66">
        <f>SUM(Z4)</f>
        <v>0</v>
      </c>
      <c r="AA5" s="66"/>
      <c r="AB5" s="66">
        <f>SUM(AB4)</f>
        <v>0</v>
      </c>
      <c r="AC5" s="66"/>
      <c r="AD5" s="66">
        <f>SUM(AD4)</f>
        <v>0</v>
      </c>
      <c r="AE5" s="66"/>
      <c r="AF5" s="66">
        <f>SUM(AF4)</f>
        <v>0</v>
      </c>
      <c r="AG5" s="66"/>
      <c r="AH5" s="66">
        <f>SUM(AH4)</f>
        <v>0</v>
      </c>
      <c r="AI5" s="66"/>
      <c r="AJ5" s="66">
        <f>SUM(AJ4)</f>
        <v>0</v>
      </c>
      <c r="AK5" s="66"/>
      <c r="AL5" s="66">
        <f>SUM(AL4)</f>
        <v>0</v>
      </c>
      <c r="AM5" s="72">
        <f>SUM(D5:AL5)</f>
        <v>0</v>
      </c>
    </row>
    <row r="6" spans="1:39" s="38" customFormat="1" ht="18.75"/>
  </sheetData>
  <mergeCells count="1">
    <mergeCell ref="A2:A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"/>
  <sheetViews>
    <sheetView topLeftCell="I1" zoomScale="75" zoomScaleNormal="75" workbookViewId="0">
      <selection activeCell="AK18" sqref="AK18"/>
    </sheetView>
  </sheetViews>
  <sheetFormatPr defaultRowHeight="15.75"/>
  <cols>
    <col min="1" max="1" width="7.28515625" style="30" customWidth="1"/>
    <col min="2" max="2" width="15.42578125" style="30" customWidth="1"/>
    <col min="3" max="3" width="15.7109375" style="30" customWidth="1"/>
    <col min="4" max="4" width="12.7109375" style="30" customWidth="1"/>
    <col min="5" max="5" width="10.7109375" style="30" hidden="1" customWidth="1"/>
    <col min="6" max="6" width="12" style="30" hidden="1" customWidth="1"/>
    <col min="7" max="7" width="16.42578125" style="30" customWidth="1"/>
    <col min="8" max="8" width="10.85546875" style="30" customWidth="1"/>
    <col min="9" max="9" width="17.85546875" style="30" customWidth="1"/>
    <col min="10" max="10" width="9.85546875" style="30" customWidth="1"/>
    <col min="11" max="11" width="10.7109375" style="30" customWidth="1"/>
    <col min="12" max="12" width="10.28515625" style="30" customWidth="1"/>
    <col min="13" max="13" width="11.28515625" style="30" customWidth="1"/>
    <col min="14" max="14" width="9.140625" style="30"/>
    <col min="15" max="22" width="9.140625" style="30" hidden="1" customWidth="1"/>
    <col min="23" max="23" width="13.5703125" style="30" customWidth="1"/>
    <col min="24" max="24" width="9.140625" style="30"/>
    <col min="25" max="26" width="9.140625" style="30" hidden="1" customWidth="1"/>
    <col min="27" max="27" width="14.7109375" style="30" customWidth="1"/>
    <col min="28" max="28" width="9.140625" style="30"/>
    <col min="29" max="30" width="9.140625" style="30" hidden="1" customWidth="1"/>
    <col min="31" max="31" width="9.7109375" style="30" customWidth="1"/>
    <col min="32" max="32" width="9.140625" style="30" customWidth="1"/>
    <col min="33" max="33" width="12.5703125" style="30" customWidth="1"/>
    <col min="34" max="34" width="9.140625" style="30" customWidth="1"/>
    <col min="35" max="35" width="14.28515625" style="30" customWidth="1"/>
    <col min="36" max="36" width="9.140625" style="30"/>
    <col min="37" max="37" width="13.85546875" style="30" customWidth="1"/>
    <col min="38" max="38" width="13.140625" style="30" customWidth="1"/>
    <col min="39" max="40" width="0" style="30" hidden="1" customWidth="1"/>
    <col min="41" max="41" width="12.7109375" style="30" customWidth="1"/>
    <col min="42" max="16384" width="9.140625" style="30"/>
  </cols>
  <sheetData>
    <row r="1" spans="1:41" ht="15" customHeight="1"/>
    <row r="2" spans="1:41" ht="24" thickBot="1">
      <c r="A2" s="149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1"/>
    </row>
    <row r="3" spans="1:41" ht="51.75" customHeight="1" thickBot="1">
      <c r="A3" s="1" t="s">
        <v>1</v>
      </c>
      <c r="B3" s="2" t="s">
        <v>2</v>
      </c>
      <c r="C3" s="2" t="s">
        <v>47</v>
      </c>
      <c r="D3" s="3" t="s">
        <v>4</v>
      </c>
      <c r="E3" s="76" t="s">
        <v>3</v>
      </c>
      <c r="F3" s="4" t="s">
        <v>4</v>
      </c>
      <c r="G3" s="2" t="s">
        <v>5</v>
      </c>
      <c r="H3" s="4" t="s">
        <v>4</v>
      </c>
      <c r="I3" s="5" t="s">
        <v>6</v>
      </c>
      <c r="J3" s="4" t="s">
        <v>4</v>
      </c>
      <c r="K3" s="3" t="s">
        <v>7</v>
      </c>
      <c r="L3" s="4" t="s">
        <v>4</v>
      </c>
      <c r="M3" s="2" t="s">
        <v>8</v>
      </c>
      <c r="N3" s="3" t="s">
        <v>4</v>
      </c>
      <c r="O3" s="5" t="s">
        <v>9</v>
      </c>
      <c r="P3" s="4" t="s">
        <v>4</v>
      </c>
      <c r="Q3" s="5" t="s">
        <v>10</v>
      </c>
      <c r="R3" s="4" t="s">
        <v>4</v>
      </c>
      <c r="S3" s="5" t="s">
        <v>11</v>
      </c>
      <c r="T3" s="6" t="s">
        <v>4</v>
      </c>
      <c r="U3" s="5" t="s">
        <v>12</v>
      </c>
      <c r="V3" s="4" t="s">
        <v>4</v>
      </c>
      <c r="W3" s="5" t="s">
        <v>13</v>
      </c>
      <c r="X3" s="4" t="s">
        <v>4</v>
      </c>
      <c r="Y3" s="5" t="s">
        <v>14</v>
      </c>
      <c r="Z3" s="4" t="s">
        <v>4</v>
      </c>
      <c r="AA3" s="5" t="s">
        <v>15</v>
      </c>
      <c r="AB3" s="4" t="s">
        <v>4</v>
      </c>
      <c r="AC3" s="5" t="s">
        <v>16</v>
      </c>
      <c r="AD3" s="4" t="s">
        <v>4</v>
      </c>
      <c r="AE3" s="5" t="s">
        <v>44</v>
      </c>
      <c r="AF3" s="4" t="s">
        <v>4</v>
      </c>
      <c r="AG3" s="4" t="s">
        <v>18</v>
      </c>
      <c r="AH3" s="4" t="s">
        <v>4</v>
      </c>
      <c r="AI3" s="5" t="s">
        <v>19</v>
      </c>
      <c r="AJ3" s="4" t="s">
        <v>4</v>
      </c>
      <c r="AK3" s="77" t="s">
        <v>46</v>
      </c>
      <c r="AL3" s="4" t="s">
        <v>4</v>
      </c>
      <c r="AM3" s="7" t="s">
        <v>20</v>
      </c>
      <c r="AN3" s="4" t="s">
        <v>4</v>
      </c>
      <c r="AO3" s="8" t="s">
        <v>21</v>
      </c>
    </row>
    <row r="4" spans="1:41" s="37" customFormat="1" ht="132.75" customHeight="1" thickBot="1">
      <c r="A4" s="78">
        <v>1</v>
      </c>
      <c r="B4" s="79" t="s">
        <v>42</v>
      </c>
      <c r="C4" s="80" t="s">
        <v>45</v>
      </c>
      <c r="D4" s="81">
        <v>3660</v>
      </c>
      <c r="E4" s="82"/>
      <c r="F4" s="83"/>
      <c r="G4" s="84" t="s">
        <v>50</v>
      </c>
      <c r="H4" s="83">
        <f>80+165+18.6+33.75+25+39.96+605.49+103+23.96+170+653.1+45.97+58.5+74+60+17.5+32.2+54+103.5+14.95+54.2+49.69+26.99+136.91+17.75+60</f>
        <v>2724.0199999999991</v>
      </c>
      <c r="I4" s="84" t="s">
        <v>48</v>
      </c>
      <c r="J4" s="83">
        <f>88.75+157.24+14+64+123.25+78+449+560+3232.47</f>
        <v>4766.71</v>
      </c>
      <c r="K4" s="84" t="s">
        <v>194</v>
      </c>
      <c r="L4" s="83">
        <f>407+1000</f>
        <v>1407</v>
      </c>
      <c r="M4" s="85" t="s">
        <v>195</v>
      </c>
      <c r="N4" s="83">
        <f>51.49+31+201.69+75.24+60.8+44.45+31.4+106.5+75.99+16</f>
        <v>694.56</v>
      </c>
      <c r="O4" s="86"/>
      <c r="P4" s="87"/>
      <c r="Q4" s="88"/>
      <c r="R4" s="89"/>
      <c r="S4" s="78"/>
      <c r="T4" s="89"/>
      <c r="U4" s="89"/>
      <c r="V4" s="89"/>
      <c r="W4" s="85" t="s">
        <v>49</v>
      </c>
      <c r="X4" s="83">
        <v>1210</v>
      </c>
      <c r="Y4" s="90"/>
      <c r="Z4" s="89"/>
      <c r="AA4" s="85" t="s">
        <v>51</v>
      </c>
      <c r="AB4" s="83">
        <f>96.05+97.94+100+13.8+15</f>
        <v>322.79000000000002</v>
      </c>
      <c r="AC4" s="90"/>
      <c r="AD4" s="91"/>
      <c r="AE4" s="92" t="s">
        <v>44</v>
      </c>
      <c r="AF4" s="89">
        <v>296.89999999999998</v>
      </c>
      <c r="AG4" s="89" t="s">
        <v>18</v>
      </c>
      <c r="AH4" s="89">
        <v>246</v>
      </c>
      <c r="AI4" s="84" t="s">
        <v>43</v>
      </c>
      <c r="AJ4" s="89">
        <f>3500</f>
        <v>3500</v>
      </c>
      <c r="AK4" s="85" t="s">
        <v>46</v>
      </c>
      <c r="AL4" s="89">
        <v>170</v>
      </c>
      <c r="AM4" s="92"/>
      <c r="AN4" s="89"/>
      <c r="AO4" s="93"/>
    </row>
    <row r="5" spans="1:41" ht="16.5" thickBot="1">
      <c r="A5" s="94"/>
      <c r="B5" s="95" t="s">
        <v>24</v>
      </c>
      <c r="C5" s="95"/>
      <c r="D5" s="96">
        <f>SUM(D4)</f>
        <v>3660</v>
      </c>
      <c r="E5" s="97"/>
      <c r="F5" s="98"/>
      <c r="G5" s="97"/>
      <c r="H5" s="98">
        <f>SUM(H4)</f>
        <v>2724.0199999999991</v>
      </c>
      <c r="I5" s="96"/>
      <c r="J5" s="98">
        <f>SUM(J4)</f>
        <v>4766.71</v>
      </c>
      <c r="K5" s="97"/>
      <c r="L5" s="98">
        <f>SUM(L4)</f>
        <v>1407</v>
      </c>
      <c r="M5" s="99"/>
      <c r="N5" s="98">
        <f>SUM(N4)</f>
        <v>694.56</v>
      </c>
      <c r="O5" s="100"/>
      <c r="P5" s="101"/>
      <c r="Q5" s="99"/>
      <c r="R5" s="98"/>
      <c r="S5" s="97"/>
      <c r="T5" s="98"/>
      <c r="U5" s="98"/>
      <c r="V5" s="98"/>
      <c r="W5" s="98"/>
      <c r="X5" s="98">
        <f>SUM(X4)</f>
        <v>1210</v>
      </c>
      <c r="Y5" s="98"/>
      <c r="Z5" s="98">
        <f>SUM(Z4)</f>
        <v>0</v>
      </c>
      <c r="AA5" s="98"/>
      <c r="AB5" s="98">
        <f>SUM(AB4)</f>
        <v>322.79000000000002</v>
      </c>
      <c r="AC5" s="98"/>
      <c r="AD5" s="98">
        <f>SUM(AD4)</f>
        <v>0</v>
      </c>
      <c r="AE5" s="98"/>
      <c r="AF5" s="98">
        <f>SUM(AF4)</f>
        <v>296.89999999999998</v>
      </c>
      <c r="AG5" s="98"/>
      <c r="AH5" s="98">
        <f>SUM(AH4)</f>
        <v>246</v>
      </c>
      <c r="AI5" s="98"/>
      <c r="AJ5" s="98">
        <f>SUM(AJ4)</f>
        <v>3500</v>
      </c>
      <c r="AK5" s="98"/>
      <c r="AL5" s="98">
        <f>SUM(AL4)</f>
        <v>170</v>
      </c>
      <c r="AM5" s="98"/>
      <c r="AN5" s="98">
        <f>SUM(AN4)</f>
        <v>0</v>
      </c>
      <c r="AO5" s="102">
        <f>SUM(D5:AN5)</f>
        <v>18997.98</v>
      </c>
    </row>
  </sheetData>
  <mergeCells count="1">
    <mergeCell ref="A2:A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6"/>
  <sheetViews>
    <sheetView zoomScale="75" zoomScaleNormal="75" workbookViewId="0">
      <selection activeCell="G8" sqref="G8"/>
    </sheetView>
  </sheetViews>
  <sheetFormatPr defaultRowHeight="18.75"/>
  <cols>
    <col min="1" max="1" width="4.7109375" style="38" customWidth="1"/>
    <col min="2" max="2" width="17.7109375" style="38" customWidth="1"/>
    <col min="3" max="3" width="12" style="38" customWidth="1"/>
    <col min="4" max="4" width="13.140625" style="38" customWidth="1"/>
    <col min="5" max="5" width="15.42578125" style="38" hidden="1" customWidth="1"/>
    <col min="6" max="6" width="12.42578125" style="38" hidden="1" customWidth="1"/>
    <col min="7" max="7" width="16.42578125" style="38" customWidth="1"/>
    <col min="8" max="8" width="11.42578125" style="38" bestFit="1" customWidth="1"/>
    <col min="9" max="9" width="17.5703125" style="38" customWidth="1"/>
    <col min="10" max="11" width="13.5703125" style="38" customWidth="1"/>
    <col min="12" max="12" width="11.42578125" style="38" customWidth="1"/>
    <col min="13" max="13" width="13.140625" style="38" customWidth="1"/>
    <col min="14" max="14" width="12" style="38" customWidth="1"/>
    <col min="15" max="15" width="13.5703125" style="38" customWidth="1"/>
    <col min="16" max="16" width="10.42578125" style="38" customWidth="1"/>
    <col min="17" max="22" width="0" style="38" hidden="1" customWidth="1"/>
    <col min="23" max="23" width="12.140625" style="38" customWidth="1"/>
    <col min="24" max="24" width="10" style="38" bestFit="1" customWidth="1"/>
    <col min="25" max="26" width="0" style="38" hidden="1" customWidth="1"/>
    <col min="27" max="27" width="13.140625" style="38" customWidth="1"/>
    <col min="28" max="28" width="9.140625" style="38"/>
    <col min="29" max="29" width="10.28515625" style="38" customWidth="1"/>
    <col min="30" max="30" width="11.42578125" style="38" customWidth="1"/>
    <col min="31" max="36" width="0" style="38" hidden="1" customWidth="1"/>
    <col min="37" max="37" width="13" style="38" customWidth="1"/>
    <col min="38" max="38" width="14.42578125" style="38" customWidth="1"/>
    <col min="39" max="42" width="0" style="38" hidden="1" customWidth="1"/>
    <col min="43" max="43" width="15.5703125" style="38" customWidth="1"/>
    <col min="44" max="16384" width="9.140625" style="38"/>
  </cols>
  <sheetData>
    <row r="1" spans="1:43" ht="24" thickBot="1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1"/>
    </row>
    <row r="2" spans="1:43" ht="77.25" customHeight="1" thickBot="1">
      <c r="A2" s="39" t="s">
        <v>1</v>
      </c>
      <c r="B2" s="40" t="s">
        <v>2</v>
      </c>
      <c r="C2" s="40" t="s">
        <v>58</v>
      </c>
      <c r="D2" s="41" t="s">
        <v>4</v>
      </c>
      <c r="E2" s="40" t="s">
        <v>47</v>
      </c>
      <c r="F2" s="41" t="s">
        <v>4</v>
      </c>
      <c r="G2" s="75" t="s">
        <v>3</v>
      </c>
      <c r="H2" s="42" t="s">
        <v>4</v>
      </c>
      <c r="I2" s="40" t="s">
        <v>5</v>
      </c>
      <c r="J2" s="42" t="s">
        <v>4</v>
      </c>
      <c r="K2" s="43" t="s">
        <v>6</v>
      </c>
      <c r="L2" s="42" t="s">
        <v>4</v>
      </c>
      <c r="M2" s="41" t="s">
        <v>7</v>
      </c>
      <c r="N2" s="42" t="s">
        <v>4</v>
      </c>
      <c r="O2" s="40" t="s">
        <v>8</v>
      </c>
      <c r="P2" s="41" t="s">
        <v>4</v>
      </c>
      <c r="Q2" s="43" t="s">
        <v>9</v>
      </c>
      <c r="R2" s="42" t="s">
        <v>4</v>
      </c>
      <c r="S2" s="43" t="s">
        <v>10</v>
      </c>
      <c r="T2" s="42" t="s">
        <v>4</v>
      </c>
      <c r="U2" s="43" t="s">
        <v>11</v>
      </c>
      <c r="V2" s="44" t="s">
        <v>4</v>
      </c>
      <c r="W2" s="43" t="s">
        <v>12</v>
      </c>
      <c r="X2" s="42" t="s">
        <v>4</v>
      </c>
      <c r="Y2" s="43" t="s">
        <v>13</v>
      </c>
      <c r="Z2" s="42" t="s">
        <v>4</v>
      </c>
      <c r="AA2" s="43" t="s">
        <v>14</v>
      </c>
      <c r="AB2" s="42" t="s">
        <v>4</v>
      </c>
      <c r="AC2" s="43" t="s">
        <v>15</v>
      </c>
      <c r="AD2" s="42" t="s">
        <v>4</v>
      </c>
      <c r="AE2" s="43" t="s">
        <v>16</v>
      </c>
      <c r="AF2" s="42" t="s">
        <v>4</v>
      </c>
      <c r="AG2" s="43" t="s">
        <v>44</v>
      </c>
      <c r="AH2" s="42" t="s">
        <v>4</v>
      </c>
      <c r="AI2" s="42" t="s">
        <v>18</v>
      </c>
      <c r="AJ2" s="42" t="s">
        <v>4</v>
      </c>
      <c r="AK2" s="43" t="s">
        <v>19</v>
      </c>
      <c r="AL2" s="42" t="s">
        <v>4</v>
      </c>
      <c r="AM2" s="103" t="s">
        <v>46</v>
      </c>
      <c r="AN2" s="42" t="s">
        <v>4</v>
      </c>
      <c r="AO2" s="46" t="s">
        <v>20</v>
      </c>
      <c r="AP2" s="42" t="s">
        <v>4</v>
      </c>
      <c r="AQ2" s="47" t="s">
        <v>21</v>
      </c>
    </row>
    <row r="3" spans="1:43" s="63" customFormat="1" ht="214.5" customHeight="1" thickBot="1">
      <c r="A3" s="104">
        <v>1</v>
      </c>
      <c r="B3" s="105" t="s">
        <v>52</v>
      </c>
      <c r="C3" s="50" t="s">
        <v>53</v>
      </c>
      <c r="D3" s="55">
        <f>9720+2000+1080</f>
        <v>12800</v>
      </c>
      <c r="E3" s="106"/>
      <c r="F3" s="107"/>
      <c r="G3" s="50" t="s">
        <v>56</v>
      </c>
      <c r="H3" s="108">
        <f>15833+16500</f>
        <v>32333</v>
      </c>
      <c r="I3" s="50" t="s">
        <v>57</v>
      </c>
      <c r="J3" s="55">
        <f>105+110+25+54.45+470+587+261+497+909+42+90+13600+70+2744+3400+800+890+9212.64</f>
        <v>33867.089999999997</v>
      </c>
      <c r="K3" s="50" t="s">
        <v>196</v>
      </c>
      <c r="L3" s="55">
        <f>34644.95+7428.25</f>
        <v>42073.2</v>
      </c>
      <c r="M3" s="50" t="s">
        <v>59</v>
      </c>
      <c r="N3" s="55">
        <f>301.8+11764+11050</f>
        <v>23115.8</v>
      </c>
      <c r="O3" s="127" t="s">
        <v>197</v>
      </c>
      <c r="P3" s="55">
        <f>168.4+69.25+69.5+191.6</f>
        <v>498.75</v>
      </c>
      <c r="Q3" s="110"/>
      <c r="R3" s="111"/>
      <c r="S3" s="112"/>
      <c r="T3" s="113"/>
      <c r="U3" s="104"/>
      <c r="V3" s="113"/>
      <c r="W3" s="50" t="s">
        <v>55</v>
      </c>
      <c r="X3" s="130">
        <f>2360+2360+2360+2520</f>
        <v>9600</v>
      </c>
      <c r="Y3" s="109"/>
      <c r="Z3" s="108"/>
      <c r="AA3" s="50" t="s">
        <v>60</v>
      </c>
      <c r="AB3" s="55">
        <f>240+160</f>
        <v>400</v>
      </c>
      <c r="AC3" s="50" t="s">
        <v>198</v>
      </c>
      <c r="AD3" s="55">
        <f>630+725+420+630+696</f>
        <v>3101</v>
      </c>
      <c r="AE3" s="114"/>
      <c r="AF3" s="115"/>
      <c r="AG3" s="116"/>
      <c r="AH3" s="113"/>
      <c r="AI3" s="113"/>
      <c r="AJ3" s="113"/>
      <c r="AK3" s="50" t="s">
        <v>43</v>
      </c>
      <c r="AL3" s="128">
        <f>26302+25290+26259+32640+73207</f>
        <v>183698</v>
      </c>
      <c r="AM3" s="109"/>
      <c r="AN3" s="113"/>
      <c r="AO3" s="116"/>
      <c r="AP3" s="113"/>
      <c r="AQ3" s="117"/>
    </row>
    <row r="4" spans="1:43" ht="19.5" thickBot="1">
      <c r="A4" s="118"/>
      <c r="B4" s="119" t="s">
        <v>24</v>
      </c>
      <c r="C4" s="119"/>
      <c r="D4" s="124">
        <f>SUM(D3)</f>
        <v>12800</v>
      </c>
      <c r="E4" s="119"/>
      <c r="F4" s="120">
        <f>SUM(F3)</f>
        <v>0</v>
      </c>
      <c r="G4" s="121"/>
      <c r="H4" s="122">
        <f>SUM(H3)</f>
        <v>32333</v>
      </c>
      <c r="I4" s="121"/>
      <c r="J4" s="122">
        <f>SUM(J3)</f>
        <v>33867.089999999997</v>
      </c>
      <c r="K4" s="120"/>
      <c r="L4" s="122">
        <f>SUM(L3)</f>
        <v>42073.2</v>
      </c>
      <c r="M4" s="121"/>
      <c r="N4" s="122">
        <f>SUM(N3)</f>
        <v>23115.8</v>
      </c>
      <c r="O4" s="123"/>
      <c r="P4" s="122">
        <f>SUM(P3)</f>
        <v>498.75</v>
      </c>
      <c r="Q4" s="124"/>
      <c r="R4" s="125"/>
      <c r="S4" s="123"/>
      <c r="T4" s="122"/>
      <c r="U4" s="121"/>
      <c r="V4" s="122"/>
      <c r="W4" s="122"/>
      <c r="X4" s="122">
        <f>SUM(X3)</f>
        <v>9600</v>
      </c>
      <c r="Y4" s="122"/>
      <c r="Z4" s="122">
        <f>SUM(Z3)</f>
        <v>0</v>
      </c>
      <c r="AA4" s="122"/>
      <c r="AB4" s="122">
        <f>SUM(AB3)</f>
        <v>400</v>
      </c>
      <c r="AC4" s="122"/>
      <c r="AD4" s="122">
        <f>SUM(AD3)</f>
        <v>3101</v>
      </c>
      <c r="AE4" s="122"/>
      <c r="AF4" s="122">
        <f>SUM(AF3)</f>
        <v>0</v>
      </c>
      <c r="AG4" s="122"/>
      <c r="AH4" s="122">
        <f>SUM(AH3)</f>
        <v>0</v>
      </c>
      <c r="AI4" s="122"/>
      <c r="AJ4" s="122">
        <f>SUM(AJ3)</f>
        <v>0</v>
      </c>
      <c r="AK4" s="122"/>
      <c r="AL4" s="122">
        <f>SUM(AL3)</f>
        <v>183698</v>
      </c>
      <c r="AM4" s="122"/>
      <c r="AN4" s="122">
        <f>SUM(AN3)</f>
        <v>0</v>
      </c>
      <c r="AO4" s="122"/>
      <c r="AP4" s="122">
        <f>SUM(AP3)</f>
        <v>0</v>
      </c>
      <c r="AQ4" s="126">
        <f>SUM(D4:AP4)</f>
        <v>341486.83999999997</v>
      </c>
    </row>
    <row r="6" spans="1:43" ht="6" customHeight="1"/>
  </sheetData>
  <mergeCells count="1">
    <mergeCell ref="A1:A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AQ5"/>
  <sheetViews>
    <sheetView zoomScale="75" zoomScaleNormal="75" workbookViewId="0">
      <selection activeCell="G7" sqref="G7"/>
    </sheetView>
  </sheetViews>
  <sheetFormatPr defaultRowHeight="18.75"/>
  <cols>
    <col min="1" max="1" width="9.140625" style="38"/>
    <col min="2" max="2" width="14.140625" style="38" customWidth="1"/>
    <col min="3" max="4" width="0" style="38" hidden="1" customWidth="1"/>
    <col min="5" max="5" width="16" style="38" customWidth="1"/>
    <col min="6" max="6" width="12.5703125" style="38" customWidth="1"/>
    <col min="7" max="7" width="12.42578125" style="38" customWidth="1"/>
    <col min="8" max="8" width="11.5703125" style="38" customWidth="1"/>
    <col min="9" max="9" width="13.85546875" style="38" customWidth="1"/>
    <col min="10" max="10" width="11.85546875" style="38" customWidth="1"/>
    <col min="11" max="12" width="13.140625" style="38" customWidth="1"/>
    <col min="13" max="13" width="16.85546875" style="38" customWidth="1"/>
    <col min="14" max="14" width="12.5703125" style="38" customWidth="1"/>
    <col min="15" max="15" width="12.7109375" style="38" customWidth="1"/>
    <col min="16" max="16" width="13.7109375" style="38" customWidth="1"/>
    <col min="17" max="22" width="0" style="38" hidden="1" customWidth="1"/>
    <col min="23" max="23" width="12.5703125" style="38" customWidth="1"/>
    <col min="24" max="24" width="10.85546875" style="38" customWidth="1"/>
    <col min="25" max="28" width="0" style="38" hidden="1" customWidth="1"/>
    <col min="29" max="29" width="11.85546875" style="38" customWidth="1"/>
    <col min="30" max="30" width="10.85546875" style="38" customWidth="1"/>
    <col min="31" max="38" width="0" style="38" hidden="1" customWidth="1"/>
    <col min="39" max="39" width="16.85546875" style="38" customWidth="1"/>
    <col min="40" max="40" width="13" style="38" customWidth="1"/>
    <col min="41" max="42" width="0" style="38" hidden="1" customWidth="1"/>
    <col min="43" max="43" width="13.140625" style="38" customWidth="1"/>
    <col min="44" max="16384" width="9.140625" style="38"/>
  </cols>
  <sheetData>
    <row r="2" spans="1:43" ht="24" thickBot="1">
      <c r="A2" s="149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1"/>
    </row>
    <row r="3" spans="1:43" ht="77.25" customHeight="1" thickBot="1">
      <c r="A3" s="39" t="s">
        <v>1</v>
      </c>
      <c r="B3" s="40" t="s">
        <v>2</v>
      </c>
      <c r="C3" s="40" t="s">
        <v>58</v>
      </c>
      <c r="D3" s="41" t="s">
        <v>4</v>
      </c>
      <c r="E3" s="40" t="s">
        <v>47</v>
      </c>
      <c r="F3" s="41" t="s">
        <v>4</v>
      </c>
      <c r="G3" s="75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10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65</v>
      </c>
      <c r="AN3" s="42" t="s">
        <v>4</v>
      </c>
      <c r="AO3" s="46" t="s">
        <v>20</v>
      </c>
      <c r="AP3" s="42" t="s">
        <v>4</v>
      </c>
      <c r="AQ3" s="47" t="s">
        <v>21</v>
      </c>
    </row>
    <row r="4" spans="1:43" s="63" customFormat="1" ht="227.25" customHeight="1" thickBot="1">
      <c r="A4" s="104">
        <v>1</v>
      </c>
      <c r="B4" s="105" t="s">
        <v>61</v>
      </c>
      <c r="C4" s="50"/>
      <c r="D4" s="55"/>
      <c r="E4" s="131" t="s">
        <v>62</v>
      </c>
      <c r="F4" s="51">
        <f>2500+1650</f>
        <v>4150</v>
      </c>
      <c r="G4" s="131" t="s">
        <v>64</v>
      </c>
      <c r="H4" s="51">
        <f>4932+3950+28596</f>
        <v>37478</v>
      </c>
      <c r="I4" s="131" t="s">
        <v>199</v>
      </c>
      <c r="J4" s="51">
        <f>10361+190+86+278+6910</f>
        <v>17825</v>
      </c>
      <c r="K4" s="45" t="s">
        <v>200</v>
      </c>
      <c r="L4" s="51">
        <v>56656</v>
      </c>
      <c r="M4" s="45" t="s">
        <v>201</v>
      </c>
      <c r="N4" s="51">
        <f>1680+2000+5000</f>
        <v>8680</v>
      </c>
      <c r="O4" s="45" t="s">
        <v>54</v>
      </c>
      <c r="P4" s="51">
        <f>2056+66+371</f>
        <v>2493</v>
      </c>
      <c r="Q4" s="110"/>
      <c r="R4" s="111"/>
      <c r="S4" s="112"/>
      <c r="T4" s="113"/>
      <c r="U4" s="104"/>
      <c r="V4" s="113"/>
      <c r="W4" s="50" t="s">
        <v>55</v>
      </c>
      <c r="X4" s="51">
        <f>1425+1475+1525+1575</f>
        <v>6000</v>
      </c>
      <c r="Y4" s="109"/>
      <c r="Z4" s="108"/>
      <c r="AA4" s="50"/>
      <c r="AB4" s="55"/>
      <c r="AC4" s="132" t="s">
        <v>202</v>
      </c>
      <c r="AD4" s="51">
        <f>5201+395+361+174+435</f>
        <v>6566</v>
      </c>
      <c r="AE4" s="114"/>
      <c r="AF4" s="115"/>
      <c r="AG4" s="116"/>
      <c r="AH4" s="113"/>
      <c r="AI4" s="113"/>
      <c r="AJ4" s="113"/>
      <c r="AK4" s="50"/>
      <c r="AL4" s="128"/>
      <c r="AM4" s="45" t="s">
        <v>63</v>
      </c>
      <c r="AN4" s="51">
        <f>8567+220</f>
        <v>8787</v>
      </c>
      <c r="AO4" s="116"/>
      <c r="AP4" s="113"/>
      <c r="AQ4" s="117"/>
    </row>
    <row r="5" spans="1:43" ht="19.5" thickBot="1">
      <c r="A5" s="118"/>
      <c r="B5" s="119" t="s">
        <v>24</v>
      </c>
      <c r="C5" s="119"/>
      <c r="D5" s="124">
        <f>SUM(D4)</f>
        <v>0</v>
      </c>
      <c r="E5" s="119"/>
      <c r="F5" s="120">
        <f>SUM(F4)</f>
        <v>4150</v>
      </c>
      <c r="G5" s="121"/>
      <c r="H5" s="122">
        <f>SUM(H4)</f>
        <v>37478</v>
      </c>
      <c r="I5" s="121"/>
      <c r="J5" s="122">
        <f>SUM(J4)</f>
        <v>17825</v>
      </c>
      <c r="K5" s="120"/>
      <c r="L5" s="122">
        <f>SUM(L4)</f>
        <v>56656</v>
      </c>
      <c r="M5" s="121"/>
      <c r="N5" s="122">
        <f>SUM(N4)</f>
        <v>8680</v>
      </c>
      <c r="O5" s="123"/>
      <c r="P5" s="122">
        <f>SUM(P4)</f>
        <v>2493</v>
      </c>
      <c r="Q5" s="124"/>
      <c r="R5" s="125"/>
      <c r="S5" s="123"/>
      <c r="T5" s="122"/>
      <c r="U5" s="121"/>
      <c r="V5" s="122"/>
      <c r="W5" s="122"/>
      <c r="X5" s="122">
        <f>SUM(X4)</f>
        <v>6000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6566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0</v>
      </c>
      <c r="AK5" s="122"/>
      <c r="AL5" s="122">
        <f>SUM(AL4)</f>
        <v>0</v>
      </c>
      <c r="AM5" s="122"/>
      <c r="AN5" s="122">
        <f>SUM(AN4)</f>
        <v>8787</v>
      </c>
      <c r="AO5" s="122"/>
      <c r="AP5" s="122">
        <f>SUM(AP4)</f>
        <v>0</v>
      </c>
      <c r="AQ5" s="126">
        <f>SUM(D5:AP5)</f>
        <v>148635</v>
      </c>
    </row>
  </sheetData>
  <mergeCells count="1">
    <mergeCell ref="A2:A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Q5"/>
  <sheetViews>
    <sheetView topLeftCell="I1" zoomScale="75" zoomScaleNormal="75" workbookViewId="0">
      <selection activeCell="P11" sqref="P10:P11"/>
    </sheetView>
  </sheetViews>
  <sheetFormatPr defaultRowHeight="18.75"/>
  <cols>
    <col min="1" max="1" width="4.42578125" style="38" customWidth="1"/>
    <col min="2" max="2" width="22.42578125" style="38" customWidth="1"/>
    <col min="3" max="4" width="0" style="38" hidden="1" customWidth="1"/>
    <col min="5" max="5" width="18.7109375" style="38" hidden="1" customWidth="1"/>
    <col min="6" max="6" width="21" style="38" hidden="1" customWidth="1"/>
    <col min="7" max="7" width="17.140625" style="38" customWidth="1"/>
    <col min="8" max="8" width="10.5703125" style="38" customWidth="1"/>
    <col min="9" max="9" width="15" style="38" customWidth="1"/>
    <col min="10" max="10" width="12.28515625" style="38" customWidth="1"/>
    <col min="11" max="12" width="9.140625" style="38" hidden="1" customWidth="1"/>
    <col min="13" max="13" width="13.85546875" style="38" customWidth="1"/>
    <col min="14" max="14" width="13" style="38" customWidth="1"/>
    <col min="15" max="15" width="14.85546875" style="38" customWidth="1"/>
    <col min="16" max="16" width="12.7109375" style="38" customWidth="1"/>
    <col min="17" max="18" width="9.140625" style="38" hidden="1" customWidth="1"/>
    <col min="19" max="19" width="10.7109375" style="38" hidden="1" customWidth="1"/>
    <col min="20" max="20" width="9.140625" style="38" hidden="1" customWidth="1"/>
    <col min="21" max="21" width="12.7109375" style="38" customWidth="1"/>
    <col min="22" max="22" width="9.140625" style="38" customWidth="1"/>
    <col min="23" max="23" width="13.7109375" style="38" customWidth="1"/>
    <col min="24" max="24" width="11.7109375" style="38" customWidth="1"/>
    <col min="25" max="28" width="9.140625" style="38" hidden="1" customWidth="1"/>
    <col min="29" max="29" width="16.140625" style="38" customWidth="1"/>
    <col min="30" max="30" width="12.5703125" style="38" customWidth="1"/>
    <col min="31" max="42" width="9.140625" style="38" hidden="1" customWidth="1"/>
    <col min="43" max="43" width="26.28515625" style="38" customWidth="1"/>
    <col min="44" max="16384" width="9.140625" style="38"/>
  </cols>
  <sheetData>
    <row r="2" spans="1:43" ht="20.25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2"/>
    </row>
    <row r="3" spans="1:43" ht="77.25" customHeight="1" thickBot="1">
      <c r="A3" s="39" t="s">
        <v>1</v>
      </c>
      <c r="B3" s="40" t="s">
        <v>2</v>
      </c>
      <c r="C3" s="40" t="s">
        <v>58</v>
      </c>
      <c r="D3" s="41" t="s">
        <v>4</v>
      </c>
      <c r="E3" s="40" t="s">
        <v>47</v>
      </c>
      <c r="F3" s="41" t="s">
        <v>4</v>
      </c>
      <c r="G3" s="75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10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65</v>
      </c>
      <c r="AN3" s="42" t="s">
        <v>4</v>
      </c>
      <c r="AO3" s="46" t="s">
        <v>20</v>
      </c>
      <c r="AP3" s="42" t="s">
        <v>4</v>
      </c>
      <c r="AQ3" s="47" t="s">
        <v>21</v>
      </c>
    </row>
    <row r="4" spans="1:43" s="63" customFormat="1" ht="227.25" customHeight="1" thickBot="1">
      <c r="A4" s="104">
        <v>1</v>
      </c>
      <c r="B4" s="105" t="s">
        <v>70</v>
      </c>
      <c r="C4" s="50"/>
      <c r="D4" s="55"/>
      <c r="E4" s="134"/>
      <c r="F4" s="128"/>
      <c r="G4" s="133" t="s">
        <v>76</v>
      </c>
      <c r="H4" s="51">
        <v>400</v>
      </c>
      <c r="I4" s="50" t="s">
        <v>77</v>
      </c>
      <c r="J4" s="51">
        <f>121+241+1300</f>
        <v>1662</v>
      </c>
      <c r="K4" s="45"/>
      <c r="L4" s="51"/>
      <c r="M4" s="40" t="s">
        <v>73</v>
      </c>
      <c r="N4" s="51">
        <f>105+65</f>
        <v>170</v>
      </c>
      <c r="O4" s="50" t="s">
        <v>74</v>
      </c>
      <c r="P4" s="51">
        <f>393+264+55+127+273</f>
        <v>1112</v>
      </c>
      <c r="Q4" s="110"/>
      <c r="R4" s="111"/>
      <c r="S4" s="112"/>
      <c r="T4" s="113"/>
      <c r="U4" s="50" t="s">
        <v>75</v>
      </c>
      <c r="V4" s="51">
        <v>20</v>
      </c>
      <c r="W4" s="129" t="s">
        <v>68</v>
      </c>
      <c r="X4" s="135">
        <v>1500</v>
      </c>
      <c r="Y4" s="51"/>
      <c r="Z4" s="108"/>
      <c r="AA4" s="50"/>
      <c r="AB4" s="55"/>
      <c r="AC4" s="50" t="s">
        <v>72</v>
      </c>
      <c r="AD4" s="51">
        <f>400+280</f>
        <v>680</v>
      </c>
      <c r="AE4" s="114"/>
      <c r="AF4" s="115"/>
      <c r="AG4" s="116"/>
      <c r="AH4" s="113"/>
      <c r="AI4" s="113"/>
      <c r="AJ4" s="113"/>
      <c r="AK4" s="50"/>
      <c r="AL4" s="128"/>
      <c r="AM4" s="45"/>
      <c r="AN4" s="51"/>
      <c r="AO4" s="116"/>
      <c r="AP4" s="113"/>
      <c r="AQ4" s="117"/>
    </row>
    <row r="5" spans="1:43" ht="19.5" thickBot="1">
      <c r="A5" s="118"/>
      <c r="B5" s="119" t="s">
        <v>24</v>
      </c>
      <c r="C5" s="119"/>
      <c r="D5" s="124">
        <f>SUM(D4)</f>
        <v>0</v>
      </c>
      <c r="E5" s="119"/>
      <c r="F5" s="120">
        <f>SUM(F4)</f>
        <v>0</v>
      </c>
      <c r="G5" s="121"/>
      <c r="H5" s="122">
        <f>SUM(H4)</f>
        <v>400</v>
      </c>
      <c r="I5" s="121"/>
      <c r="J5" s="122">
        <f>SUM(J4)</f>
        <v>1662</v>
      </c>
      <c r="K5" s="120"/>
      <c r="L5" s="122">
        <f>SUM(L4)</f>
        <v>0</v>
      </c>
      <c r="M5" s="121"/>
      <c r="N5" s="122">
        <f>SUM(N4)</f>
        <v>170</v>
      </c>
      <c r="O5" s="123"/>
      <c r="P5" s="122">
        <f>SUM(P4)</f>
        <v>1112</v>
      </c>
      <c r="Q5" s="124"/>
      <c r="R5" s="125"/>
      <c r="S5" s="123"/>
      <c r="T5" s="122"/>
      <c r="U5" s="121"/>
      <c r="V5" s="122">
        <f>SUM(V4)</f>
        <v>20</v>
      </c>
      <c r="W5" s="122"/>
      <c r="X5" s="122">
        <f>SUM(X4)</f>
        <v>1500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680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0</v>
      </c>
      <c r="AK5" s="122"/>
      <c r="AL5" s="122">
        <f>SUM(AL4)</f>
        <v>0</v>
      </c>
      <c r="AM5" s="122"/>
      <c r="AN5" s="122">
        <f>SUM(AN4)</f>
        <v>0</v>
      </c>
      <c r="AO5" s="122"/>
      <c r="AP5" s="122">
        <f>SUM(AP4)</f>
        <v>0</v>
      </c>
      <c r="AQ5" s="126">
        <f>SUM(D5:AP5)</f>
        <v>5544</v>
      </c>
    </row>
  </sheetData>
  <mergeCells count="1">
    <mergeCell ref="A2:AQ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AQ5"/>
  <sheetViews>
    <sheetView zoomScale="75" zoomScaleNormal="75" workbookViewId="0">
      <selection activeCell="W9" sqref="W9"/>
    </sheetView>
  </sheetViews>
  <sheetFormatPr defaultRowHeight="18.75"/>
  <cols>
    <col min="1" max="1" width="9.140625" style="38"/>
    <col min="2" max="2" width="14.140625" style="38" customWidth="1"/>
    <col min="3" max="4" width="0" style="38" hidden="1" customWidth="1"/>
    <col min="5" max="5" width="15.42578125" style="38" customWidth="1"/>
    <col min="6" max="6" width="15" style="38" customWidth="1"/>
    <col min="7" max="7" width="20" style="38" customWidth="1"/>
    <col min="8" max="8" width="16.5703125" style="38" customWidth="1"/>
    <col min="9" max="22" width="0" style="38" hidden="1" customWidth="1"/>
    <col min="23" max="23" width="19.5703125" style="38" customWidth="1"/>
    <col min="24" max="24" width="11.5703125" style="38" customWidth="1"/>
    <col min="25" max="42" width="0" style="38" hidden="1" customWidth="1"/>
    <col min="43" max="43" width="13" style="38" customWidth="1"/>
    <col min="44" max="16384" width="9.140625" style="38"/>
  </cols>
  <sheetData>
    <row r="2" spans="1:43" ht="20.25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2"/>
    </row>
    <row r="3" spans="1:43" ht="77.25" customHeight="1" thickBot="1">
      <c r="A3" s="39" t="s">
        <v>1</v>
      </c>
      <c r="B3" s="40" t="s">
        <v>2</v>
      </c>
      <c r="C3" s="40" t="s">
        <v>58</v>
      </c>
      <c r="D3" s="41" t="s">
        <v>4</v>
      </c>
      <c r="E3" s="40" t="s">
        <v>47</v>
      </c>
      <c r="F3" s="41" t="s">
        <v>4</v>
      </c>
      <c r="G3" s="41" t="s">
        <v>3</v>
      </c>
      <c r="H3" s="42" t="s">
        <v>4</v>
      </c>
      <c r="I3" s="40" t="s">
        <v>5</v>
      </c>
      <c r="J3" s="42" t="s">
        <v>4</v>
      </c>
      <c r="K3" s="43" t="s">
        <v>6</v>
      </c>
      <c r="L3" s="42" t="s">
        <v>4</v>
      </c>
      <c r="M3" s="41" t="s">
        <v>7</v>
      </c>
      <c r="N3" s="42" t="s">
        <v>4</v>
      </c>
      <c r="O3" s="40" t="s">
        <v>8</v>
      </c>
      <c r="P3" s="41" t="s">
        <v>4</v>
      </c>
      <c r="Q3" s="43" t="s">
        <v>9</v>
      </c>
      <c r="R3" s="42" t="s">
        <v>4</v>
      </c>
      <c r="S3" s="43" t="s">
        <v>10</v>
      </c>
      <c r="T3" s="42" t="s">
        <v>4</v>
      </c>
      <c r="U3" s="43" t="s">
        <v>11</v>
      </c>
      <c r="V3" s="44" t="s">
        <v>4</v>
      </c>
      <c r="W3" s="43" t="s">
        <v>12</v>
      </c>
      <c r="X3" s="42" t="s">
        <v>4</v>
      </c>
      <c r="Y3" s="43" t="s">
        <v>13</v>
      </c>
      <c r="Z3" s="42" t="s">
        <v>4</v>
      </c>
      <c r="AA3" s="43" t="s">
        <v>14</v>
      </c>
      <c r="AB3" s="42" t="s">
        <v>4</v>
      </c>
      <c r="AC3" s="43" t="s">
        <v>15</v>
      </c>
      <c r="AD3" s="42" t="s">
        <v>4</v>
      </c>
      <c r="AE3" s="43" t="s">
        <v>16</v>
      </c>
      <c r="AF3" s="42" t="s">
        <v>4</v>
      </c>
      <c r="AG3" s="43" t="s">
        <v>44</v>
      </c>
      <c r="AH3" s="42" t="s">
        <v>4</v>
      </c>
      <c r="AI3" s="42" t="s">
        <v>18</v>
      </c>
      <c r="AJ3" s="42" t="s">
        <v>4</v>
      </c>
      <c r="AK3" s="43" t="s">
        <v>19</v>
      </c>
      <c r="AL3" s="42" t="s">
        <v>4</v>
      </c>
      <c r="AM3" s="103" t="s">
        <v>65</v>
      </c>
      <c r="AN3" s="42" t="s">
        <v>4</v>
      </c>
      <c r="AO3" s="46" t="s">
        <v>20</v>
      </c>
      <c r="AP3" s="42" t="s">
        <v>4</v>
      </c>
      <c r="AQ3" s="47" t="s">
        <v>21</v>
      </c>
    </row>
    <row r="4" spans="1:43" s="63" customFormat="1" ht="241.5" customHeight="1" thickBot="1">
      <c r="A4" s="104">
        <v>1</v>
      </c>
      <c r="B4" s="105" t="s">
        <v>66</v>
      </c>
      <c r="C4" s="50"/>
      <c r="D4" s="55"/>
      <c r="E4" s="134" t="s">
        <v>67</v>
      </c>
      <c r="F4" s="128">
        <f>5500</f>
        <v>5500</v>
      </c>
      <c r="G4" s="134" t="s">
        <v>69</v>
      </c>
      <c r="H4" s="128">
        <f>6799+6839</f>
        <v>13638</v>
      </c>
      <c r="I4" s="131"/>
      <c r="J4" s="51"/>
      <c r="K4" s="45"/>
      <c r="L4" s="51"/>
      <c r="M4" s="45"/>
      <c r="N4" s="51"/>
      <c r="O4" s="45"/>
      <c r="P4" s="51"/>
      <c r="Q4" s="110"/>
      <c r="R4" s="111"/>
      <c r="S4" s="112"/>
      <c r="T4" s="113"/>
      <c r="U4" s="104"/>
      <c r="V4" s="113"/>
      <c r="W4" s="136" t="s">
        <v>68</v>
      </c>
      <c r="X4" s="128">
        <v>720</v>
      </c>
      <c r="Y4" s="109"/>
      <c r="Z4" s="108"/>
      <c r="AA4" s="50"/>
      <c r="AB4" s="55"/>
      <c r="AC4" s="132"/>
      <c r="AD4" s="51"/>
      <c r="AE4" s="114"/>
      <c r="AF4" s="115"/>
      <c r="AG4" s="116"/>
      <c r="AH4" s="113"/>
      <c r="AI4" s="113"/>
      <c r="AJ4" s="113"/>
      <c r="AK4" s="50"/>
      <c r="AL4" s="128"/>
      <c r="AM4" s="45"/>
      <c r="AN4" s="51"/>
      <c r="AO4" s="116"/>
      <c r="AP4" s="113"/>
      <c r="AQ4" s="117"/>
    </row>
    <row r="5" spans="1:43" ht="19.5" thickBot="1">
      <c r="A5" s="118"/>
      <c r="B5" s="119" t="s">
        <v>24</v>
      </c>
      <c r="C5" s="119"/>
      <c r="D5" s="124">
        <f>SUM(D4)</f>
        <v>0</v>
      </c>
      <c r="E5" s="119"/>
      <c r="F5" s="120">
        <f>SUM(F4)</f>
        <v>5500</v>
      </c>
      <c r="G5" s="121"/>
      <c r="H5" s="122">
        <f>SUM(H4)</f>
        <v>13638</v>
      </c>
      <c r="I5" s="121"/>
      <c r="J5" s="122">
        <f>SUM(J4)</f>
        <v>0</v>
      </c>
      <c r="K5" s="120"/>
      <c r="L5" s="122">
        <f>SUM(L4)</f>
        <v>0</v>
      </c>
      <c r="M5" s="121"/>
      <c r="N5" s="122">
        <f>SUM(N4)</f>
        <v>0</v>
      </c>
      <c r="O5" s="123"/>
      <c r="P5" s="122">
        <f>SUM(P4)</f>
        <v>0</v>
      </c>
      <c r="Q5" s="124"/>
      <c r="R5" s="125"/>
      <c r="S5" s="123"/>
      <c r="T5" s="122"/>
      <c r="U5" s="121"/>
      <c r="V5" s="122"/>
      <c r="W5" s="122"/>
      <c r="X5" s="122">
        <f>SUM(X4)</f>
        <v>720</v>
      </c>
      <c r="Y5" s="122"/>
      <c r="Z5" s="122">
        <f>SUM(Z4)</f>
        <v>0</v>
      </c>
      <c r="AA5" s="122"/>
      <c r="AB5" s="122">
        <f>SUM(AB4)</f>
        <v>0</v>
      </c>
      <c r="AC5" s="122"/>
      <c r="AD5" s="122">
        <f>SUM(AD4)</f>
        <v>0</v>
      </c>
      <c r="AE5" s="122"/>
      <c r="AF5" s="122">
        <f>SUM(AF4)</f>
        <v>0</v>
      </c>
      <c r="AG5" s="122"/>
      <c r="AH5" s="122">
        <f>SUM(AH4)</f>
        <v>0</v>
      </c>
      <c r="AI5" s="122"/>
      <c r="AJ5" s="122">
        <f>SUM(AJ4)</f>
        <v>0</v>
      </c>
      <c r="AK5" s="122"/>
      <c r="AL5" s="122">
        <f>SUM(AL4)</f>
        <v>0</v>
      </c>
      <c r="AM5" s="122"/>
      <c r="AN5" s="122">
        <f>SUM(AN4)</f>
        <v>0</v>
      </c>
      <c r="AO5" s="122"/>
      <c r="AP5" s="122">
        <f>SUM(AP4)</f>
        <v>0</v>
      </c>
      <c r="AQ5" s="126">
        <f>SUM(D5:AP5)</f>
        <v>19858</v>
      </c>
    </row>
  </sheetData>
  <mergeCells count="1">
    <mergeCell ref="A2:A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КЗШ14</vt:lpstr>
      <vt:lpstr>КЗШ17</vt:lpstr>
      <vt:lpstr>КЗШ19</vt:lpstr>
      <vt:lpstr>КЗШ21</vt:lpstr>
      <vt:lpstr>КЗШ31</vt:lpstr>
      <vt:lpstr>КНВК35</vt:lpstr>
      <vt:lpstr>КЗШ41</vt:lpstr>
      <vt:lpstr>КЗШ43</vt:lpstr>
      <vt:lpstr>КЗШ51</vt:lpstr>
      <vt:lpstr>КЗШ 58</vt:lpstr>
      <vt:lpstr>КЗШ68</vt:lpstr>
      <vt:lpstr>КСШ70</vt:lpstr>
      <vt:lpstr>КЗШ72</vt:lpstr>
      <vt:lpstr>КСШ74</vt:lpstr>
      <vt:lpstr>Гим91</vt:lpstr>
      <vt:lpstr>КСШ107</vt:lpstr>
      <vt:lpstr>КЗШ113</vt:lpstr>
      <vt:lpstr>КСШ118</vt:lpstr>
      <vt:lpstr>КЗШ119</vt:lpstr>
      <vt:lpstr>КЗШ120</vt:lpstr>
      <vt:lpstr>КЗШ122</vt:lpstr>
      <vt:lpstr>КЗШ124</vt:lpstr>
      <vt:lpstr>НВК-240</vt:lpstr>
      <vt:lpstr>НВК-278</vt:lpstr>
      <vt:lpstr>КПНЛ</vt:lpstr>
      <vt:lpstr>Д-8</vt:lpstr>
      <vt:lpstr>Д-10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2018-01-21T14:53:44Z</dcterms:modified>
</cp:coreProperties>
</file>