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ЭтаКнига" defaultThemeVersion="124226"/>
  <bookViews>
    <workbookView xWindow="120" yWindow="105" windowWidth="15120" windowHeight="8010" firstSheet="3" activeTab="9"/>
  </bookViews>
  <sheets>
    <sheet name="Лист1" sheetId="15" r:id="rId1"/>
    <sheet name="для скляр" sheetId="14" r:id="rId2"/>
    <sheet name="лютий" sheetId="2" r:id="rId3"/>
    <sheet name="Березень" sheetId="3" r:id="rId4"/>
    <sheet name="Квітень" sheetId="4" r:id="rId5"/>
    <sheet name="травень2020" sheetId="11" r:id="rId6"/>
    <sheet name="червень2020" sheetId="6" r:id="rId7"/>
    <sheet name="липень2020" sheetId="7" r:id="rId8"/>
    <sheet name="серпень2020" sheetId="8" r:id="rId9"/>
    <sheet name="вересень2020" sheetId="9" r:id="rId10"/>
    <sheet name="жовтень2019" sheetId="10" r:id="rId11"/>
    <sheet name="листопад2019" sheetId="12" r:id="rId12"/>
    <sheet name="грудень2019" sheetId="13" r:id="rId13"/>
  </sheets>
  <definedNames>
    <definedName name="_xlnm.Print_Area" localSheetId="4">Квітень!$A$1:$J$27</definedName>
    <definedName name="_xlnm.Print_Area" localSheetId="2">лютий!$A$1:$J$121</definedName>
  </definedNames>
  <calcPr calcId="114210"/>
</workbook>
</file>

<file path=xl/calcChain.xml><?xml version="1.0" encoding="utf-8"?>
<calcChain xmlns="http://schemas.openxmlformats.org/spreadsheetml/2006/main">
  <c r="J38" i="9"/>
  <c r="J37"/>
  <c r="J33"/>
  <c r="J26"/>
  <c r="J28"/>
  <c r="J29"/>
  <c r="J17"/>
  <c r="H17"/>
  <c r="H18"/>
  <c r="J18"/>
  <c r="J4"/>
  <c r="J5"/>
  <c r="J7"/>
  <c r="J9"/>
  <c r="J13"/>
  <c r="J14"/>
  <c r="J60" i="8"/>
  <c r="J29"/>
  <c r="J28"/>
  <c r="J55"/>
  <c r="J59"/>
  <c r="J58"/>
  <c r="J54"/>
  <c r="J51"/>
  <c r="J49"/>
  <c r="J40"/>
  <c r="J41"/>
  <c r="H40"/>
  <c r="J32"/>
  <c r="J26"/>
  <c r="J24"/>
  <c r="J22"/>
  <c r="J14"/>
  <c r="J8"/>
  <c r="J6"/>
  <c r="J71" i="7"/>
  <c r="J36"/>
  <c r="J40"/>
  <c r="J53"/>
  <c r="J57"/>
  <c r="J60"/>
  <c r="J62"/>
  <c r="J66"/>
  <c r="J69"/>
  <c r="J70"/>
  <c r="J16"/>
  <c r="J12"/>
  <c r="J8"/>
  <c r="J4"/>
  <c r="J21"/>
  <c r="J22"/>
  <c r="J93" i="6"/>
  <c r="J92"/>
  <c r="J89"/>
  <c r="J84"/>
  <c r="J82"/>
  <c r="J80"/>
  <c r="J81"/>
  <c r="J76"/>
  <c r="J77"/>
  <c r="J87"/>
  <c r="J88"/>
  <c r="J85"/>
  <c r="J86"/>
  <c r="J78"/>
  <c r="J79"/>
  <c r="J71"/>
  <c r="J74"/>
  <c r="J69"/>
  <c r="J70"/>
  <c r="J67"/>
  <c r="J68"/>
  <c r="J63"/>
  <c r="J64"/>
  <c r="J65"/>
  <c r="J66"/>
  <c r="J61"/>
  <c r="J62"/>
  <c r="J59"/>
  <c r="J60"/>
  <c r="J57"/>
  <c r="J58"/>
  <c r="J52"/>
  <c r="J55"/>
  <c r="J56"/>
  <c r="J50"/>
  <c r="J51"/>
  <c r="J48"/>
  <c r="J49"/>
  <c r="J46"/>
  <c r="J47"/>
  <c r="J44"/>
  <c r="J45"/>
  <c r="J42"/>
  <c r="J43"/>
  <c r="J40"/>
  <c r="J41"/>
  <c r="J38"/>
  <c r="J39"/>
  <c r="J36"/>
  <c r="J37"/>
  <c r="J34"/>
  <c r="J35"/>
  <c r="J29"/>
  <c r="J33"/>
  <c r="J27"/>
  <c r="J28"/>
  <c r="J22"/>
  <c r="J23"/>
  <c r="J24"/>
  <c r="J25"/>
  <c r="J26"/>
  <c r="J20"/>
  <c r="J21"/>
  <c r="J18"/>
  <c r="J19"/>
  <c r="J15"/>
  <c r="J16"/>
  <c r="J17"/>
  <c r="J13"/>
  <c r="J14"/>
  <c r="J10"/>
  <c r="J12"/>
  <c r="J8"/>
  <c r="J9"/>
  <c r="J3"/>
  <c r="J4"/>
  <c r="J5"/>
  <c r="J6"/>
  <c r="J7"/>
  <c r="J75"/>
  <c r="J16" i="11"/>
  <c r="J13"/>
  <c r="J24"/>
  <c r="J27"/>
  <c r="J28"/>
  <c r="J5"/>
  <c r="J6"/>
  <c r="J14"/>
  <c r="J29"/>
  <c r="J23" i="4"/>
  <c r="J22"/>
  <c r="J13"/>
  <c r="J11"/>
  <c r="J8"/>
  <c r="J3"/>
  <c r="J5"/>
  <c r="J14"/>
  <c r="K65" i="3"/>
  <c r="L56"/>
  <c r="J56"/>
  <c r="J42"/>
  <c r="J37"/>
  <c r="J39"/>
  <c r="J36"/>
  <c r="J33"/>
  <c r="J30"/>
  <c r="J26"/>
  <c r="J22"/>
  <c r="J16"/>
  <c r="J10"/>
  <c r="J4"/>
  <c r="J40"/>
  <c r="J82" i="2"/>
  <c r="J103"/>
  <c r="J52"/>
  <c r="J117"/>
  <c r="J93"/>
  <c r="J95"/>
  <c r="H93"/>
  <c r="J90"/>
  <c r="J86"/>
  <c r="J87"/>
  <c r="J88"/>
  <c r="H87"/>
  <c r="H86"/>
  <c r="J83"/>
  <c r="H83"/>
  <c r="J80"/>
  <c r="J64"/>
  <c r="J55"/>
  <c r="J61"/>
  <c r="H55"/>
  <c r="J5"/>
  <c r="J7"/>
  <c r="J10"/>
  <c r="J13"/>
  <c r="J14"/>
  <c r="J15"/>
  <c r="J17"/>
  <c r="J18"/>
  <c r="J21"/>
  <c r="J22"/>
  <c r="J23"/>
  <c r="J24"/>
  <c r="J25"/>
  <c r="J26"/>
  <c r="J31"/>
  <c r="J33"/>
  <c r="J35"/>
  <c r="J37"/>
  <c r="J38"/>
  <c r="J39"/>
  <c r="J40"/>
  <c r="J41"/>
  <c r="J42"/>
  <c r="J44"/>
  <c r="J45"/>
  <c r="J47"/>
  <c r="J50"/>
  <c r="J51"/>
  <c r="J104"/>
  <c r="J107"/>
  <c r="J108"/>
  <c r="J115"/>
  <c r="K117"/>
  <c r="H108"/>
  <c r="H107"/>
  <c r="H104"/>
  <c r="H50"/>
  <c r="H47"/>
  <c r="H45"/>
  <c r="L44"/>
  <c r="H42"/>
  <c r="H41"/>
  <c r="H40"/>
  <c r="H38"/>
  <c r="H35"/>
  <c r="H31"/>
  <c r="H26"/>
  <c r="H23"/>
  <c r="H18"/>
  <c r="H17"/>
  <c r="H14"/>
  <c r="H13"/>
  <c r="K44" i="15"/>
  <c r="K43"/>
  <c r="K39"/>
  <c r="K38"/>
  <c r="I38"/>
  <c r="K37"/>
  <c r="I37"/>
  <c r="K36"/>
  <c r="K35"/>
  <c r="K30"/>
  <c r="I30"/>
  <c r="K29"/>
  <c r="K28"/>
  <c r="I28"/>
  <c r="K27"/>
  <c r="K25"/>
  <c r="K22"/>
  <c r="I22"/>
  <c r="K21"/>
  <c r="I21"/>
  <c r="K20"/>
  <c r="I20"/>
  <c r="K19"/>
  <c r="I19"/>
  <c r="K18"/>
  <c r="I18"/>
  <c r="K17"/>
  <c r="K16"/>
  <c r="I16"/>
  <c r="K15"/>
  <c r="K8"/>
  <c r="K13"/>
  <c r="K56"/>
  <c r="K58"/>
  <c r="K64"/>
  <c r="K67"/>
  <c r="K73"/>
  <c r="K81"/>
  <c r="K88"/>
  <c r="K90"/>
  <c r="K92"/>
  <c r="K97"/>
  <c r="K99"/>
  <c r="K105"/>
  <c r="K106"/>
  <c r="K107"/>
  <c r="K108"/>
  <c r="K109"/>
  <c r="I107"/>
  <c r="K76"/>
  <c r="K75"/>
  <c r="K72"/>
  <c r="K69"/>
  <c r="J104" i="13"/>
  <c r="J124"/>
  <c r="J130"/>
  <c r="J132"/>
  <c r="J123"/>
  <c r="J115"/>
  <c r="J118"/>
  <c r="J119"/>
  <c r="H118"/>
  <c r="H115"/>
  <c r="J112"/>
  <c r="J94"/>
  <c r="J97"/>
  <c r="J89"/>
  <c r="J90"/>
  <c r="J91"/>
  <c r="J87"/>
  <c r="J85"/>
  <c r="J83"/>
  <c r="J78"/>
  <c r="J76"/>
  <c r="J74"/>
  <c r="J70"/>
  <c r="J64"/>
  <c r="J58"/>
  <c r="J56"/>
  <c r="J57"/>
  <c r="J62"/>
  <c r="H57"/>
  <c r="H56"/>
  <c r="J54"/>
  <c r="J52"/>
  <c r="J50"/>
  <c r="J46"/>
  <c r="J47"/>
  <c r="J43"/>
  <c r="J44"/>
  <c r="J35"/>
  <c r="J36"/>
  <c r="J38"/>
  <c r="J39"/>
  <c r="J40"/>
  <c r="J41"/>
  <c r="J42"/>
  <c r="J34"/>
  <c r="J27"/>
  <c r="J32"/>
  <c r="J26"/>
  <c r="J18"/>
  <c r="J19"/>
  <c r="J23"/>
  <c r="J16"/>
  <c r="J17"/>
  <c r="J15"/>
  <c r="J8"/>
  <c r="J9"/>
  <c r="J10"/>
  <c r="J11"/>
  <c r="J6"/>
  <c r="J7"/>
  <c r="J3"/>
  <c r="J4"/>
  <c r="J5"/>
  <c r="J48"/>
  <c r="H46"/>
  <c r="H43"/>
  <c r="H41"/>
  <c r="H40"/>
  <c r="H39"/>
  <c r="H38"/>
  <c r="H36"/>
  <c r="H27"/>
  <c r="H18"/>
  <c r="H19"/>
  <c r="H8"/>
  <c r="H10"/>
  <c r="H6"/>
  <c r="H4"/>
  <c r="H3"/>
  <c r="J121"/>
  <c r="J110"/>
  <c r="J106"/>
  <c r="J100"/>
  <c r="J108"/>
  <c r="J128"/>
  <c r="J126"/>
  <c r="J129"/>
  <c r="J129" i="12"/>
  <c r="J128"/>
  <c r="J127"/>
  <c r="J125"/>
  <c r="J122"/>
  <c r="J120"/>
  <c r="J118"/>
  <c r="J112"/>
  <c r="J114"/>
  <c r="J111"/>
  <c r="J98"/>
  <c r="J99"/>
  <c r="J103"/>
  <c r="J105"/>
  <c r="J97"/>
  <c r="J76"/>
  <c r="J77"/>
  <c r="J78"/>
  <c r="J83"/>
  <c r="J84"/>
  <c r="J71"/>
  <c r="J72"/>
  <c r="J69"/>
  <c r="J62"/>
  <c r="J65"/>
  <c r="J66"/>
  <c r="J61"/>
  <c r="J86"/>
  <c r="J87"/>
  <c r="J89"/>
  <c r="J90"/>
  <c r="J95"/>
  <c r="J123"/>
  <c r="J5"/>
  <c r="J8"/>
  <c r="J9"/>
  <c r="J11"/>
  <c r="J12"/>
  <c r="J13"/>
  <c r="J14"/>
  <c r="J15"/>
  <c r="J24"/>
  <c r="J25"/>
  <c r="J26"/>
  <c r="J27"/>
  <c r="J28"/>
  <c r="J29"/>
  <c r="J30"/>
  <c r="J32"/>
  <c r="J33"/>
  <c r="J36"/>
  <c r="J37"/>
  <c r="J38"/>
  <c r="J40"/>
  <c r="J41"/>
  <c r="J42"/>
  <c r="J43"/>
  <c r="J44"/>
  <c r="J46"/>
  <c r="J47"/>
  <c r="J48"/>
  <c r="J49"/>
  <c r="J52"/>
  <c r="J53"/>
  <c r="J54"/>
  <c r="J55"/>
  <c r="J56"/>
  <c r="J58"/>
  <c r="J18"/>
  <c r="J20"/>
  <c r="J23"/>
  <c r="J59"/>
  <c r="H98"/>
  <c r="H90"/>
  <c r="H89"/>
  <c r="H78"/>
  <c r="H76"/>
  <c r="H71"/>
  <c r="H65"/>
  <c r="H62"/>
  <c r="H53"/>
  <c r="H54"/>
  <c r="H51"/>
  <c r="H50"/>
  <c r="H46"/>
  <c r="H44"/>
  <c r="H43"/>
  <c r="H42"/>
  <c r="H33"/>
  <c r="H30"/>
  <c r="H26"/>
  <c r="H25"/>
  <c r="H24"/>
  <c r="H20"/>
  <c r="H13"/>
  <c r="H11"/>
  <c r="H8"/>
  <c r="H5"/>
  <c r="J16" i="9"/>
  <c r="J22"/>
  <c r="J25"/>
  <c r="J32"/>
  <c r="J94" i="14"/>
  <c r="J89"/>
  <c r="J82"/>
  <c r="J16"/>
  <c r="H16"/>
  <c r="J79"/>
  <c r="H79"/>
  <c r="J77"/>
  <c r="H77"/>
  <c r="J11"/>
  <c r="J69"/>
  <c r="J49"/>
  <c r="J43"/>
  <c r="J30"/>
  <c r="J25"/>
  <c r="J24"/>
  <c r="J18"/>
  <c r="J17"/>
  <c r="J23"/>
  <c r="J37"/>
  <c r="J45"/>
  <c r="J53"/>
  <c r="J63"/>
  <c r="J75"/>
  <c r="J81"/>
  <c r="J87"/>
  <c r="J93"/>
  <c r="J105"/>
  <c r="J108"/>
  <c r="J115"/>
  <c r="J120"/>
  <c r="J125"/>
  <c r="J129"/>
  <c r="J130"/>
  <c r="J132"/>
  <c r="J133"/>
  <c r="J19" i="4"/>
  <c r="J17"/>
  <c r="J21"/>
  <c r="J54" i="2"/>
  <c r="J85"/>
  <c r="J99"/>
  <c r="J102"/>
  <c r="J46" i="3"/>
  <c r="J49"/>
  <c r="J51"/>
  <c r="J55"/>
  <c r="J58"/>
  <c r="J59"/>
</calcChain>
</file>

<file path=xl/sharedStrings.xml><?xml version="1.0" encoding="utf-8"?>
<sst xmlns="http://schemas.openxmlformats.org/spreadsheetml/2006/main" count="2317" uniqueCount="635">
  <si>
    <t>№ п/п</t>
  </si>
  <si>
    <t>Установа</t>
  </si>
  <si>
    <t>КЕКВ</t>
  </si>
  <si>
    <t>Найменування</t>
  </si>
  <si>
    <t>кіль-ть</t>
  </si>
  <si>
    <t>батьки</t>
  </si>
  <si>
    <t>Всього:</t>
  </si>
  <si>
    <t>ДНЗ № 156</t>
  </si>
  <si>
    <t>ДНЗ № 194</t>
  </si>
  <si>
    <t>ДНЗ № 254</t>
  </si>
  <si>
    <t>ДНЗ № 261</t>
  </si>
  <si>
    <t>шт.</t>
  </si>
  <si>
    <t>кг.</t>
  </si>
  <si>
    <t>кг</t>
  </si>
  <si>
    <t>ДНЗ № 250</t>
  </si>
  <si>
    <t>1812/2</t>
  </si>
  <si>
    <t xml:space="preserve">батьки </t>
  </si>
  <si>
    <t xml:space="preserve">ДНЗ № 301 </t>
  </si>
  <si>
    <t>ДНЗ № 303</t>
  </si>
  <si>
    <t>1812/1</t>
  </si>
  <si>
    <t>КЗШ № 58</t>
  </si>
  <si>
    <t>Гім.№ 91</t>
  </si>
  <si>
    <t>КСШ № 118</t>
  </si>
  <si>
    <t>Разом за лютий  по ДНЗ:</t>
  </si>
  <si>
    <t>КЗШ № 124</t>
  </si>
  <si>
    <t>Дюсш № 10</t>
  </si>
  <si>
    <t>КЗШ № 119</t>
  </si>
  <si>
    <t>Благодійні внески за лютий місяць 2019рік.</t>
  </si>
  <si>
    <t>ДНЗ №89</t>
  </si>
  <si>
    <t>Килим</t>
  </si>
  <si>
    <t>Туалет.папір,рушники</t>
  </si>
  <si>
    <t>Туалет.папір</t>
  </si>
  <si>
    <t>Дезактин</t>
  </si>
  <si>
    <t>ДНЗ№295</t>
  </si>
  <si>
    <t>Пральний порошок</t>
  </si>
  <si>
    <t>КЗШ№68</t>
  </si>
  <si>
    <t>Інтерект дошка,проектор</t>
  </si>
  <si>
    <t>Кабель</t>
  </si>
  <si>
    <t>КСШ №74</t>
  </si>
  <si>
    <t>КЗШ№113</t>
  </si>
  <si>
    <t>Папір для Фліпчартів</t>
  </si>
  <si>
    <t>КЗШ №120</t>
  </si>
  <si>
    <t>Бланки абонементів</t>
  </si>
  <si>
    <t>шт</t>
  </si>
  <si>
    <t>Всього по КЗШ:</t>
  </si>
  <si>
    <t>фахівець ЦБВО Слободян Т.В</t>
  </si>
  <si>
    <t>фахівець ЦБВО  Ващенко Н.О.</t>
  </si>
  <si>
    <t>спонсори "Зелений центр МЕТІНВЕСТ"</t>
  </si>
  <si>
    <t>Килим доріжка,</t>
  </si>
  <si>
    <t>1</t>
  </si>
  <si>
    <t>Сода кальцинована,мило господ.</t>
  </si>
  <si>
    <t>Туалет.папір,серветки паперові</t>
  </si>
  <si>
    <t>Вікна металопласт. 20,92м2</t>
  </si>
  <si>
    <t>Жалюзі</t>
  </si>
  <si>
    <t>дзеркало</t>
  </si>
  <si>
    <t>Class MetinvestСпонсори</t>
  </si>
  <si>
    <t>8</t>
  </si>
  <si>
    <t>10</t>
  </si>
  <si>
    <t>пакети для сміття,серветки,губки, рушники</t>
  </si>
  <si>
    <t>уп.</t>
  </si>
  <si>
    <t>Гарнитура TRAST,маршрутизатор WIFI</t>
  </si>
  <si>
    <t>Програмне забезпечення для керування</t>
  </si>
  <si>
    <t>2117/1</t>
  </si>
  <si>
    <t>Настінне кріплення</t>
  </si>
  <si>
    <t>Столи,стільці учнівські</t>
  </si>
  <si>
    <t>Телевізор ДЕХ-32</t>
  </si>
  <si>
    <t>водонагрівач 100Л</t>
  </si>
  <si>
    <t>Дошка</t>
  </si>
  <si>
    <t>Кран одиночка,граблі,шланг50м</t>
  </si>
  <si>
    <t>Карніз 3,5м</t>
  </si>
  <si>
    <t>Дошка,крісло,шафа для книг та одягу</t>
  </si>
  <si>
    <t>Телевізор BRAVIS,та кріплення</t>
  </si>
  <si>
    <t>Стілаж,шафа</t>
  </si>
  <si>
    <t>світильник ЛЕД</t>
  </si>
  <si>
    <t>комплект</t>
  </si>
  <si>
    <t>Стіл учнівський та стілець</t>
  </si>
  <si>
    <t>Дитяча лавка</t>
  </si>
  <si>
    <t>лампа ЛЕД</t>
  </si>
  <si>
    <t>телевізор КИВИ,та кріплення</t>
  </si>
  <si>
    <t>Вікна металопластик 12,55+4,87м2</t>
  </si>
  <si>
    <t>Парта моноліт</t>
  </si>
  <si>
    <t>Дошка Фліпчарт</t>
  </si>
  <si>
    <t>Дошка Фліпчарт та набір до неї</t>
  </si>
  <si>
    <t>Дошка поворотна та набір до неї</t>
  </si>
  <si>
    <t>ноутбук ЛЕНОВО</t>
  </si>
  <si>
    <t>компютер LG</t>
  </si>
  <si>
    <t>Цифрова фотокамера</t>
  </si>
  <si>
    <t>стілець,пуф</t>
  </si>
  <si>
    <t>Двері металеві</t>
  </si>
  <si>
    <t>лампа Арсенал</t>
  </si>
  <si>
    <t>Стілець офіс</t>
  </si>
  <si>
    <t>килимове покриття 4,2м2</t>
  </si>
  <si>
    <t>Кутова шліф.машинка</t>
  </si>
  <si>
    <t>Шкільна дошка</t>
  </si>
  <si>
    <t>РАЗОМ за лютий</t>
  </si>
  <si>
    <t>Рахунок</t>
  </si>
  <si>
    <t>Від кого</t>
  </si>
  <si>
    <t>Од вимір.</t>
  </si>
  <si>
    <t>Ціна</t>
  </si>
  <si>
    <t>Сума</t>
  </si>
  <si>
    <t>Вікна металопласт. 4,66м2</t>
  </si>
  <si>
    <t>ДНЗ№32</t>
  </si>
  <si>
    <t>ДНЗ №14</t>
  </si>
  <si>
    <t>мило господ,сода кальцин</t>
  </si>
  <si>
    <t>ДНЗ№42</t>
  </si>
  <si>
    <t xml:space="preserve">                              Всього:</t>
  </si>
  <si>
    <r>
      <t xml:space="preserve">                            </t>
    </r>
    <r>
      <rPr>
        <b/>
        <sz val="14"/>
        <color indexed="8"/>
        <rFont val="Times New Roman"/>
        <family val="1"/>
        <charset val="204"/>
      </rPr>
      <t>Всього:</t>
    </r>
  </si>
  <si>
    <t xml:space="preserve">                    Господар.мило,сода кальц.</t>
  </si>
  <si>
    <t>Сода кальц,мило господ.,засіб для труб,мило рідке</t>
  </si>
  <si>
    <t>ДНЗ№90</t>
  </si>
  <si>
    <t>40</t>
  </si>
  <si>
    <t>2</t>
  </si>
  <si>
    <t>Полове покриття</t>
  </si>
  <si>
    <t>Папір туалетний</t>
  </si>
  <si>
    <t>Мило госп.,сода кальцинована та харч,мило рідке</t>
  </si>
  <si>
    <t>Дошка шкільна</t>
  </si>
  <si>
    <t>КЗШ№41</t>
  </si>
  <si>
    <t>Всього</t>
  </si>
  <si>
    <t>Дошка шкільна 1,2/0,9</t>
  </si>
  <si>
    <t>Мягкі безкаркасні крісла</t>
  </si>
  <si>
    <t>Комутатор мережевий ТМ-Линк</t>
  </si>
  <si>
    <t>КСШ№70</t>
  </si>
  <si>
    <t>Телевізор BRAVIS</t>
  </si>
  <si>
    <t>Дошка класна</t>
  </si>
  <si>
    <t>Шафа стінка,шафа книжкова,шафа б/у</t>
  </si>
  <si>
    <t>Стіл компютерний,крісло офісний б/у</t>
  </si>
  <si>
    <t>Телевізор Tochiba</t>
  </si>
  <si>
    <t>Стенди(набір)</t>
  </si>
  <si>
    <t>Телевізор BRAVIS,та телевізор Blauberg,кронштейн</t>
  </si>
  <si>
    <t>КЗШ№19</t>
  </si>
  <si>
    <t>вчитель</t>
  </si>
  <si>
    <t>РАЗОМ за березень:</t>
  </si>
  <si>
    <t>Разом за березень: по ДНЗ:</t>
  </si>
  <si>
    <t>кг/л</t>
  </si>
  <si>
    <t>3</t>
  </si>
  <si>
    <t>24</t>
  </si>
  <si>
    <t xml:space="preserve"> батьки</t>
  </si>
  <si>
    <t>ДНЗ№261</t>
  </si>
  <si>
    <t>ДНЗ№303</t>
  </si>
  <si>
    <t xml:space="preserve">Стул ASCONA </t>
  </si>
  <si>
    <t>Шкільна дошка,ткан.ролети</t>
  </si>
  <si>
    <t>РАЗОМ за квітень:</t>
  </si>
  <si>
    <t>л</t>
  </si>
  <si>
    <t>туалет.папір,рушники паперові</t>
  </si>
  <si>
    <t>уп</t>
  </si>
  <si>
    <t>мікрасепт</t>
  </si>
  <si>
    <t>НВК№240</t>
  </si>
  <si>
    <t>шт/уп</t>
  </si>
  <si>
    <t>КЗШ №51</t>
  </si>
  <si>
    <t>телевізор Liberton 32</t>
  </si>
  <si>
    <t>Разом за квітень по ДНЗ:</t>
  </si>
  <si>
    <t>Разом за квітень по КЗШ:</t>
  </si>
  <si>
    <t>м2</t>
  </si>
  <si>
    <t>КНВК№58</t>
  </si>
  <si>
    <t>Wi-Fi роутер</t>
  </si>
  <si>
    <t>Шафа дводверна,кутова,шафа купе,шафа книжна,тумбоч</t>
  </si>
  <si>
    <t>6</t>
  </si>
  <si>
    <t>уп/шт</t>
  </si>
  <si>
    <t>КПНЛ</t>
  </si>
  <si>
    <t>Метінвест</t>
  </si>
  <si>
    <t>кв.м</t>
  </si>
  <si>
    <t>плівка ПВХ,тканинні ролети,фотообої</t>
  </si>
  <si>
    <t>кронштейн,завіса стальна,полотно дверне,шпалери вінілові</t>
  </si>
  <si>
    <t>комп</t>
  </si>
  <si>
    <t>ручка на планці,коробка двер.під добор ПВХ</t>
  </si>
  <si>
    <t>лиштва,вітрина для зразків</t>
  </si>
  <si>
    <t>світильник діодний,стіл письм.шафа з дверц. Та склом,кафедра</t>
  </si>
  <si>
    <t>телевізор MYSTERY</t>
  </si>
  <si>
    <t xml:space="preserve">шафа з шухлядами </t>
  </si>
  <si>
    <t>нім.товариство</t>
  </si>
  <si>
    <t xml:space="preserve">стіл учнівський,стілець учнівський </t>
  </si>
  <si>
    <t>ДНЗ №261</t>
  </si>
  <si>
    <t>КЗШ№118</t>
  </si>
  <si>
    <t>ДНЗ №90</t>
  </si>
  <si>
    <t xml:space="preserve">шт </t>
  </si>
  <si>
    <t>7</t>
  </si>
  <si>
    <t>РАЗОМ за травень:</t>
  </si>
  <si>
    <t>Разом за травень по КЗШ:</t>
  </si>
  <si>
    <t>Разом за травень по ДНЗ:</t>
  </si>
  <si>
    <t>ДНЗ№14</t>
  </si>
  <si>
    <t>Туалетний папір</t>
  </si>
  <si>
    <t>ДНЗ №42</t>
  </si>
  <si>
    <t>Постільна білизна</t>
  </si>
  <si>
    <t>Туалетний папір,рушники паперові</t>
  </si>
  <si>
    <t>Холодильник</t>
  </si>
  <si>
    <t>ДезТаб</t>
  </si>
  <si>
    <t>ДНЗ №250</t>
  </si>
  <si>
    <t>ДНЗ №295</t>
  </si>
  <si>
    <t>ДНЗ№301</t>
  </si>
  <si>
    <t>Лавка садова</t>
  </si>
  <si>
    <t>КЗШ №118</t>
  </si>
  <si>
    <t>фахівець ЦБВО Моря І.С.</t>
  </si>
  <si>
    <t>Дезтабнью</t>
  </si>
  <si>
    <t>Пилосмок</t>
  </si>
  <si>
    <t>Клей</t>
  </si>
  <si>
    <t>од</t>
  </si>
  <si>
    <t>Разом за липень по ДНЗ:</t>
  </si>
  <si>
    <t>Благодійні внески з 01.01.2019-01.08.2019рік.</t>
  </si>
  <si>
    <t>РАЗОМ:</t>
  </si>
  <si>
    <t>Відеокамера,відеорегитратор</t>
  </si>
  <si>
    <t>Разом:</t>
  </si>
  <si>
    <t>Пісочниця</t>
  </si>
  <si>
    <t>Дзеркало</t>
  </si>
  <si>
    <t>Магнітна дошка</t>
  </si>
  <si>
    <t>Меблі</t>
  </si>
  <si>
    <t>Шафа</t>
  </si>
  <si>
    <t>ДНЗ№264</t>
  </si>
  <si>
    <t>Металопластикове вікно</t>
  </si>
  <si>
    <t>Туалетний папір.рушники паперові,папір офісний</t>
  </si>
  <si>
    <t>Клей для шпалер</t>
  </si>
  <si>
    <t>Прожектор</t>
  </si>
  <si>
    <t>Канцтовари</t>
  </si>
  <si>
    <t>Госптовари,госпматеріали</t>
  </si>
  <si>
    <t>Сонях</t>
  </si>
  <si>
    <t>Разом за вересень: по ДНЗ:</t>
  </si>
  <si>
    <t>КЗШ№51</t>
  </si>
  <si>
    <t>Госпісепт</t>
  </si>
  <si>
    <t>КЗШ №74</t>
  </si>
  <si>
    <t>Дошки</t>
  </si>
  <si>
    <t xml:space="preserve">Шафа </t>
  </si>
  <si>
    <t>Госптовари</t>
  </si>
  <si>
    <t>Порошок пральний</t>
  </si>
  <si>
    <t>НВК№278</t>
  </si>
  <si>
    <t>РАЗОМ за вересень:</t>
  </si>
  <si>
    <t>Жовтень в лимтопаді</t>
  </si>
  <si>
    <t>Благодійні внески за жовтень- листопад місяць 2019рік.</t>
  </si>
  <si>
    <t>Меблі (лавка,стілець,полка,к-т меблі)</t>
  </si>
  <si>
    <t>Рушники</t>
  </si>
  <si>
    <t>Корзини,карниз,люстра,щитки,</t>
  </si>
  <si>
    <t>Госп товари (мило, сода,)</t>
  </si>
  <si>
    <t>підгардинник,меблі,грохото</t>
  </si>
  <si>
    <t>Ковдра,подушки</t>
  </si>
  <si>
    <t>ДНЗ № 81</t>
  </si>
  <si>
    <t>Клей для обоїв</t>
  </si>
  <si>
    <t>Ветошь</t>
  </si>
  <si>
    <t>пач</t>
  </si>
  <si>
    <t>ДНЗ № 89</t>
  </si>
  <si>
    <t>Господарчі товари</t>
  </si>
  <si>
    <t>Холодильник,водонагрівач</t>
  </si>
  <si>
    <t>Дез таб Нью, мікросепт</t>
  </si>
  <si>
    <t>гк</t>
  </si>
  <si>
    <t>Подушка</t>
  </si>
  <si>
    <t>ДНЗ№254</t>
  </si>
  <si>
    <t>Дезактін</t>
  </si>
  <si>
    <t>ДНЗ № 259</t>
  </si>
  <si>
    <t>Змішувач,муфта</t>
  </si>
  <si>
    <t>Світильник</t>
  </si>
  <si>
    <t>Туалетний папір,серветки,пакети для сміття</t>
  </si>
  <si>
    <t>62</t>
  </si>
  <si>
    <t>Посуд,підставка для ложок</t>
  </si>
  <si>
    <t>Мебля</t>
  </si>
  <si>
    <t>Плафон,карниз</t>
  </si>
  <si>
    <t>ДНЗ № 264</t>
  </si>
  <si>
    <t>ДНЗ № 295</t>
  </si>
  <si>
    <t>Господарчі товари,канцтовари</t>
  </si>
  <si>
    <t>Шафа ,пісочниця</t>
  </si>
  <si>
    <t>Холодильна шафа</t>
  </si>
  <si>
    <t>КЗШ№14</t>
  </si>
  <si>
    <t>КЗШ№35</t>
  </si>
  <si>
    <t>Стільці</t>
  </si>
  <si>
    <t>Вікна металопластикові,двері</t>
  </si>
  <si>
    <t>КЗШ №41</t>
  </si>
  <si>
    <t>КЗШ№43</t>
  </si>
  <si>
    <t>КЗШ № 51</t>
  </si>
  <si>
    <t>КНВК № 58</t>
  </si>
  <si>
    <t>Німецьке тов,</t>
  </si>
  <si>
    <t>Водонагрівач</t>
  </si>
  <si>
    <t>Рекуператор повітря</t>
  </si>
  <si>
    <t>Мийка нержав, сталь</t>
  </si>
  <si>
    <t>Шафа купе</t>
  </si>
  <si>
    <t>Пано декоративне</t>
  </si>
  <si>
    <t>комп,</t>
  </si>
  <si>
    <t>Декоративні куби</t>
  </si>
  <si>
    <t>КСШ № 74</t>
  </si>
  <si>
    <t>Кулер для води</t>
  </si>
  <si>
    <t>Телевізор</t>
  </si>
  <si>
    <t>Крісло</t>
  </si>
  <si>
    <t>Кронштейн</t>
  </si>
  <si>
    <t>од,</t>
  </si>
  <si>
    <t>Вхідні двері</t>
  </si>
  <si>
    <t>Мийка</t>
  </si>
  <si>
    <t>Лампа над дошкою</t>
  </si>
  <si>
    <t>Настінний годинник</t>
  </si>
  <si>
    <t>КЗШ №113</t>
  </si>
  <si>
    <t>Вікно металопластикове</t>
  </si>
  <si>
    <t>Стіл,шафа</t>
  </si>
  <si>
    <t>Госп товари</t>
  </si>
  <si>
    <t>КЗШ № 118</t>
  </si>
  <si>
    <t>Засіб вибілюючий</t>
  </si>
  <si>
    <t>л,</t>
  </si>
  <si>
    <t>Підставка під авіти</t>
  </si>
  <si>
    <t>Куляр</t>
  </si>
  <si>
    <t>КЗШ № 120</t>
  </si>
  <si>
    <t>Стіл вчителя</t>
  </si>
  <si>
    <t>Дерев’яні поверхні</t>
  </si>
  <si>
    <t>Праска електрична</t>
  </si>
  <si>
    <t>РАЗОМ за жовтень-листопад 2019:</t>
  </si>
  <si>
    <t>КСШ № 107</t>
  </si>
  <si>
    <t>циберко</t>
  </si>
  <si>
    <t>ДЮСШ №8</t>
  </si>
  <si>
    <t>Баскетбольний клуб</t>
  </si>
  <si>
    <t>Комп’ютер( монітор,процессор,мишка,клав-ра)</t>
  </si>
  <si>
    <t>ДЮСШ № 10</t>
  </si>
  <si>
    <t>Бланки абониментні</t>
  </si>
  <si>
    <t>Батьки</t>
  </si>
  <si>
    <t>фахівець ЦБВО Ірина Моря</t>
  </si>
  <si>
    <t>Посуд,</t>
  </si>
  <si>
    <t>Мітла</t>
  </si>
  <si>
    <t>Проектор</t>
  </si>
  <si>
    <t>ДНЗ№ 190</t>
  </si>
  <si>
    <t>куточок "Перукарня"</t>
  </si>
  <si>
    <t>Маркування</t>
  </si>
  <si>
    <t>Господарчі товари(контейнери,відра,урна)</t>
  </si>
  <si>
    <t>Вогнегасник</t>
  </si>
  <si>
    <t>ДНЗ№202</t>
  </si>
  <si>
    <t>Мебля(диван дитячий)</t>
  </si>
  <si>
    <t>ДНЗ № 222</t>
  </si>
  <si>
    <t>11</t>
  </si>
  <si>
    <t>Малі форми</t>
  </si>
  <si>
    <t>14</t>
  </si>
  <si>
    <t>Корзина для іграшок</t>
  </si>
  <si>
    <t>5</t>
  </si>
  <si>
    <t>Килими,доріжки</t>
  </si>
  <si>
    <t>Плафони</t>
  </si>
  <si>
    <t>Тюль,занавіски</t>
  </si>
  <si>
    <t>Постільна білизна,рушники</t>
  </si>
  <si>
    <t>Костюми для виступів</t>
  </si>
  <si>
    <t>Госпордарчі матеріали</t>
  </si>
  <si>
    <t>ДНЗ №301</t>
  </si>
  <si>
    <t>Сода,сіль</t>
  </si>
  <si>
    <t>Книги</t>
  </si>
  <si>
    <t>Криворізькі автори</t>
  </si>
  <si>
    <t>КЗШ № 17</t>
  </si>
  <si>
    <t>КЗШ № 19</t>
  </si>
  <si>
    <t>КЗШ № 21</t>
  </si>
  <si>
    <t>Іграшки</t>
  </si>
  <si>
    <t>Покриття для підлоги</t>
  </si>
  <si>
    <t>КЗШ № 31</t>
  </si>
  <si>
    <t>КЗШ № 35</t>
  </si>
  <si>
    <t>Вікна металопластикові</t>
  </si>
  <si>
    <t>Сантехнічні кабінки</t>
  </si>
  <si>
    <t>Стіл офісний</t>
  </si>
  <si>
    <t>КЗШ № 41</t>
  </si>
  <si>
    <t>Господарчі матеріали</t>
  </si>
  <si>
    <t>шт/м</t>
  </si>
  <si>
    <t>Маршрутізатор</t>
  </si>
  <si>
    <t>КЗШ № 43</t>
  </si>
  <si>
    <t>Піаніно</t>
  </si>
  <si>
    <t>М’яч</t>
  </si>
  <si>
    <t>КСШ № 70</t>
  </si>
  <si>
    <t>КЗШ № 72</t>
  </si>
  <si>
    <t>КЗШ № 74</t>
  </si>
  <si>
    <t>КГ №91</t>
  </si>
  <si>
    <t>Кондиціонер</t>
  </si>
  <si>
    <t>Грати металеві,роздягальні металеві</t>
  </si>
  <si>
    <t>Гардини</t>
  </si>
  <si>
    <t>КЗШ № 113</t>
  </si>
  <si>
    <t>Стінка</t>
  </si>
  <si>
    <t>КЗШ №122</t>
  </si>
  <si>
    <t>КЗШ №124</t>
  </si>
  <si>
    <t>НВК № 240</t>
  </si>
  <si>
    <t>Комп’ютер</t>
  </si>
  <si>
    <t>НВК № 278</t>
  </si>
  <si>
    <t>РАЗОМ за грудень 2019:</t>
  </si>
  <si>
    <t>Благодійні внески за грудень місяць 2019рік.</t>
  </si>
  <si>
    <t>Місяць</t>
  </si>
  <si>
    <t>лютий</t>
  </si>
  <si>
    <t>травень</t>
  </si>
  <si>
    <t>червень</t>
  </si>
  <si>
    <t>КНВК №58</t>
  </si>
  <si>
    <t>листопад</t>
  </si>
  <si>
    <t>КЗШ №21</t>
  </si>
  <si>
    <t>грудень</t>
  </si>
  <si>
    <t>Благодійні внески за лютий місяць 2020 рік.</t>
  </si>
  <si>
    <t>ДНЗ № 14</t>
  </si>
  <si>
    <t>ДНЗ № 57</t>
  </si>
  <si>
    <t>Господ, товари ( мило госп,сода кальцинована,чистячий)</t>
  </si>
  <si>
    <t>Тюль</t>
  </si>
  <si>
    <t>Килимові доріжки,килим</t>
  </si>
  <si>
    <t>Шафа для одягу</t>
  </si>
  <si>
    <t>Мольберт</t>
  </si>
  <si>
    <t>Наматрацники,покривала рвзні</t>
  </si>
  <si>
    <t>Йоржик</t>
  </si>
  <si>
    <t>Посуд (миска,чайник)</t>
  </si>
  <si>
    <t xml:space="preserve">Меблі </t>
  </si>
  <si>
    <t>Годинник</t>
  </si>
  <si>
    <t>ДНЗ № 90</t>
  </si>
  <si>
    <t>Туалет.папір, рушники паперові</t>
  </si>
  <si>
    <t>мило господарче, сода,чистяче</t>
  </si>
  <si>
    <t>Дезтаб,мікрасепт</t>
  </si>
  <si>
    <t>ДНЗ № 202</t>
  </si>
  <si>
    <t>Штора</t>
  </si>
  <si>
    <t>Сушка для білизни</t>
  </si>
  <si>
    <t>Ел,інструмент (болгарка)</t>
  </si>
  <si>
    <t>Туалетний папір,серветки,пакнти д/сміття</t>
  </si>
  <si>
    <t xml:space="preserve">Канцелярія, </t>
  </si>
  <si>
    <t>Контейнер пластмас,</t>
  </si>
  <si>
    <t>Госп,тов (мило госп,силікон,полотно ножов,)</t>
  </si>
  <si>
    <t xml:space="preserve">Карніз </t>
  </si>
  <si>
    <t>Посуд (чайник)</t>
  </si>
  <si>
    <t>Ковер</t>
  </si>
  <si>
    <t>Наволочки,покривало,накидки на подушки</t>
  </si>
  <si>
    <t>Госп товари(унітаз,смесітель,рукомийник)</t>
  </si>
  <si>
    <t>СВЧ</t>
  </si>
  <si>
    <t>Декорація з фанери(олень,гноми,і т,д)</t>
  </si>
  <si>
    <t>Костюми</t>
  </si>
  <si>
    <t>Тумба</t>
  </si>
  <si>
    <t>Радіосистема</t>
  </si>
  <si>
    <t>Акустична система</t>
  </si>
  <si>
    <t>Мікшерний пульт</t>
  </si>
  <si>
    <t>Новорічна гірлянда</t>
  </si>
  <si>
    <t>Всього по ПНЗ:</t>
  </si>
  <si>
    <t>КЗШ №19</t>
  </si>
  <si>
    <t>Клей КСК-7</t>
  </si>
  <si>
    <t>Госп матеріал</t>
  </si>
  <si>
    <t>Фотопапір</t>
  </si>
  <si>
    <t>Підставка д/ложок</t>
  </si>
  <si>
    <t>Гігрометр д/мед каб,</t>
  </si>
  <si>
    <t>Термометр д/холод,</t>
  </si>
  <si>
    <t xml:space="preserve">Німецьке товариство міжнародного співробітництва (GIZ)ГмбХ </t>
  </si>
  <si>
    <t>Крісло -мішок</t>
  </si>
  <si>
    <t>Мат підлоговий</t>
  </si>
  <si>
    <t>Принтер</t>
  </si>
  <si>
    <t>Світлова гармата до кулі</t>
  </si>
  <si>
    <t>Світлова панель</t>
  </si>
  <si>
    <t>Стіл д/ малювання піском</t>
  </si>
  <si>
    <t>Зволожувач повітря</t>
  </si>
  <si>
    <t>Крісло мішок</t>
  </si>
  <si>
    <t>Дзеркальна куля</t>
  </si>
  <si>
    <t>Балансуюча дошка</t>
  </si>
  <si>
    <t>Фіброоптичне волокно</t>
  </si>
  <si>
    <t>Набір сенсорних м’ячів</t>
  </si>
  <si>
    <t>Колона з бульбашками</t>
  </si>
  <si>
    <t>Світлодінамічний прилад</t>
  </si>
  <si>
    <t>Сухий басейн</t>
  </si>
  <si>
    <t>Колектив криворізьких авторів</t>
  </si>
  <si>
    <t>Енциклопедія</t>
  </si>
  <si>
    <t>КСШ №70</t>
  </si>
  <si>
    <t>Меблі (стіл,диван,крісла)</t>
  </si>
  <si>
    <t>Меблі (стіл,шафа,крісла)</t>
  </si>
  <si>
    <t>Двері вхідні кабінетні</t>
  </si>
  <si>
    <t>КЗШ№107</t>
  </si>
  <si>
    <t>книги</t>
  </si>
  <si>
    <t>Комп’ютерна миша</t>
  </si>
  <si>
    <t>Госптовари (кран)</t>
  </si>
  <si>
    <t>Госптовари( миючий ,відбілювач,чистячий)</t>
  </si>
  <si>
    <t>Металопластикові вікна</t>
  </si>
  <si>
    <t>Вертикальні жалюзі</t>
  </si>
  <si>
    <t>Двері кабінетні</t>
  </si>
  <si>
    <t>Секції огорожи</t>
  </si>
  <si>
    <t>Шафа " Куток природи"</t>
  </si>
  <si>
    <t xml:space="preserve">фахівець ЦБВО  </t>
  </si>
  <si>
    <t>Стіл різний б/у</t>
  </si>
  <si>
    <t>Комод б/у</t>
  </si>
  <si>
    <t>Стілаж б/у</t>
  </si>
  <si>
    <t>60</t>
  </si>
  <si>
    <t>Подушка сіліконова</t>
  </si>
  <si>
    <t>Мітталстіл</t>
  </si>
  <si>
    <t>Липи(саженці)</t>
  </si>
  <si>
    <t>ДНЗ№197</t>
  </si>
  <si>
    <t>шт/міш</t>
  </si>
  <si>
    <t>Дзвоник вхідний</t>
  </si>
  <si>
    <t>Кахель,цемент,гіпсокартон,церезит,шпвклівка,клей для гіпсокартону,клей для кахелю</t>
  </si>
  <si>
    <t>434</t>
  </si>
  <si>
    <t>Комплект килимового покриття</t>
  </si>
  <si>
    <t>Туалет.папір,серветки паперові,пакети для сміття</t>
  </si>
  <si>
    <t>Пральна машина автомат</t>
  </si>
  <si>
    <t>Копіювальний прстрій</t>
  </si>
  <si>
    <t>Липа (саджанець)</t>
  </si>
  <si>
    <t>Клінідез</t>
  </si>
  <si>
    <t>ДНЗ № 300</t>
  </si>
  <si>
    <t>Метталстіл</t>
  </si>
  <si>
    <t>Шафа функціональна б/у</t>
  </si>
  <si>
    <t>Спортивне обладнання</t>
  </si>
  <si>
    <r>
      <t xml:space="preserve">Громадська організація </t>
    </r>
    <r>
      <rPr>
        <b/>
        <sz val="16"/>
        <rFont val="Times New Roman"/>
        <family val="1"/>
        <charset val="204"/>
      </rPr>
      <t>Асоціація сімей загиблих"</t>
    </r>
  </si>
  <si>
    <t>Мемориальна дошка Іванушкін В’ячеслав Вадиович</t>
  </si>
  <si>
    <t>Телевізор МТV-323 I LT2</t>
  </si>
  <si>
    <t>КГ № 91</t>
  </si>
  <si>
    <t>Інтерактивна дошка</t>
  </si>
  <si>
    <t>КСШ№118</t>
  </si>
  <si>
    <t>Мемориальна дошка Доценка Анатолія Ігоровича</t>
  </si>
  <si>
    <t>Поличка дерев’яна</t>
  </si>
  <si>
    <t>Засіб миючий,чистячий,вибілюючий</t>
  </si>
  <si>
    <t>л/кг</t>
  </si>
  <si>
    <t>Липа (садженець)</t>
  </si>
  <si>
    <t>Благодійні внески за березень місяць 2020рік.</t>
  </si>
  <si>
    <t>фахівець ЦБВО  Ірина Моря</t>
  </si>
  <si>
    <t>Благодійні внески за квітень місяць 2020 рік.</t>
  </si>
  <si>
    <t>ДНЗ№190</t>
  </si>
  <si>
    <t>Тюль,палас ,ковер</t>
  </si>
  <si>
    <t>Госптовари(саморізи,клей,пензли,шпаклівка)</t>
  </si>
  <si>
    <t>18</t>
  </si>
  <si>
    <t>Антисептичний засіб</t>
  </si>
  <si>
    <t>ДНЗ№ 301</t>
  </si>
  <si>
    <t>КНВК № 43</t>
  </si>
  <si>
    <t>Госптовари ( мило,пральний порошок,пакети для сміття,віник,чистяче,миюч. засіб)</t>
  </si>
  <si>
    <t>кг/шт</t>
  </si>
  <si>
    <t>КЗШ№ 58</t>
  </si>
  <si>
    <t>Бландідас</t>
  </si>
  <si>
    <t xml:space="preserve">Засіб відбілюючий,чистячий </t>
  </si>
  <si>
    <t>Благодійні внески за травень місяць 2020 рік.</t>
  </si>
  <si>
    <t>Засіб для чищення труб</t>
  </si>
  <si>
    <t>Канц товари (скоби,файли,папки)</t>
  </si>
  <si>
    <t>Бензин</t>
  </si>
  <si>
    <t>Господарчі товари (емаль,цемент,вапно,щітка,рукавиці)</t>
  </si>
  <si>
    <t>Замок навісний</t>
  </si>
  <si>
    <t>Стенди музейної кімнати</t>
  </si>
  <si>
    <t>Демонстраційна тумба</t>
  </si>
  <si>
    <t>Стіл для вчителя</t>
  </si>
  <si>
    <t>Тумбочка</t>
  </si>
  <si>
    <t>Комод</t>
  </si>
  <si>
    <t>Шафа-пенал</t>
  </si>
  <si>
    <t>Пенал</t>
  </si>
  <si>
    <t>Поличка для книг</t>
  </si>
  <si>
    <t>Засіб відбілюючий</t>
  </si>
  <si>
    <t>Засіб для чищення</t>
  </si>
  <si>
    <t>Благодійні внески за червень місяць 2020рік.</t>
  </si>
  <si>
    <t>ДНЗ № 30</t>
  </si>
  <si>
    <t>ДНЗ № 151</t>
  </si>
  <si>
    <t>ДНЗ № 190</t>
  </si>
  <si>
    <t>ДНЗ № 191</t>
  </si>
  <si>
    <t>ДНЗ № 197</t>
  </si>
  <si>
    <t>ДНЗ № 234</t>
  </si>
  <si>
    <t>ДНЗ № 249</t>
  </si>
  <si>
    <t>ДНЗ№259</t>
  </si>
  <si>
    <t>ДНЗ №264</t>
  </si>
  <si>
    <t>ДНЗ №300</t>
  </si>
  <si>
    <t>КП Кривбасводоканал</t>
  </si>
  <si>
    <t>Гіпохлорит</t>
  </si>
  <si>
    <t>таб</t>
  </si>
  <si>
    <t>М’який куток</t>
  </si>
  <si>
    <t xml:space="preserve">Мило госп,сода кальцинована </t>
  </si>
  <si>
    <t>госптовари(мило,чистяче,білизна)</t>
  </si>
  <si>
    <t>Дезтаб,мікросепт</t>
  </si>
  <si>
    <t>Дезтаб</t>
  </si>
  <si>
    <t>госптовари(мило,чсода кальцинована)</t>
  </si>
  <si>
    <t>Канцтовари ( файли,папки)</t>
  </si>
  <si>
    <t>Госпматеріали</t>
  </si>
  <si>
    <t>Підставка для інтерактивної дошки</t>
  </si>
  <si>
    <t>ЦБВО</t>
  </si>
  <si>
    <t>НВК № 58</t>
  </si>
  <si>
    <t>НВК №278</t>
  </si>
  <si>
    <t>Госптовари ( відбілюючий,чистячий)</t>
  </si>
  <si>
    <t>Госптовари (пензли,валіки)</t>
  </si>
  <si>
    <t>ДЮСШ -10</t>
  </si>
  <si>
    <t>Ганчір’я</t>
  </si>
  <si>
    <t>Пенсзли</t>
  </si>
  <si>
    <t>Дезтабнью,Клінідез</t>
  </si>
  <si>
    <t>ДНЗ№ 81</t>
  </si>
  <si>
    <t>ДНЗ№ 90</t>
  </si>
  <si>
    <t xml:space="preserve">Од </t>
  </si>
  <si>
    <t>Госптовари( мило,сода)</t>
  </si>
  <si>
    <t>22</t>
  </si>
  <si>
    <t>Холодильник Норд</t>
  </si>
  <si>
    <t>Комплект меблів д/посібників б/у</t>
  </si>
  <si>
    <t>ДНЗ№ 295</t>
  </si>
  <si>
    <t>Канц товари</t>
  </si>
  <si>
    <t>госптовари (Лампа, серветки,губки)</t>
  </si>
  <si>
    <t>10,03</t>
  </si>
  <si>
    <t xml:space="preserve">КЗШ № 31 </t>
  </si>
  <si>
    <t>Німецька компанія</t>
  </si>
  <si>
    <t>Світлова панель "Безкінечність"</t>
  </si>
  <si>
    <t>Стіл для малювання</t>
  </si>
  <si>
    <t>4</t>
  </si>
  <si>
    <t>Колонка з бульбашками</t>
  </si>
  <si>
    <t xml:space="preserve">КЗШ № 41 </t>
  </si>
  <si>
    <t>Плакати в кабінет хімії,</t>
  </si>
  <si>
    <t>Гігрометр для мед,кабінету</t>
  </si>
  <si>
    <t>Крісло мішок (дооцінка)</t>
  </si>
  <si>
    <t>Регулятор повітря</t>
  </si>
  <si>
    <t>Лічильник холодної води</t>
  </si>
  <si>
    <t>Книжкові полиці</t>
  </si>
  <si>
    <t>Щітки д/фарби,валік</t>
  </si>
  <si>
    <t>л/шт</t>
  </si>
  <si>
    <t>8/1</t>
  </si>
  <si>
    <t>Ігровий павільон</t>
  </si>
  <si>
    <t>Дитячий фонд ООН (ЮНІСЕФ)</t>
  </si>
  <si>
    <t>ТОВ"Арселор Міттал"</t>
  </si>
  <si>
    <t>Принтер НР лазер</t>
  </si>
  <si>
    <t>Щітки</t>
  </si>
  <si>
    <t>Разом за липень по КЗШ:</t>
  </si>
  <si>
    <t>РАЗОМ за липень 2020:</t>
  </si>
  <si>
    <t>Благодійні внески за липень місяць 2020рік.</t>
  </si>
  <si>
    <t>Сода кальц,,мило господарче,з/для чищення труб, з/для чищення</t>
  </si>
  <si>
    <t>шт/кг</t>
  </si>
  <si>
    <t>19/11,2</t>
  </si>
  <si>
    <t>Дез таб,мікрасепт</t>
  </si>
  <si>
    <t>2/1,0</t>
  </si>
  <si>
    <t>ДНЗ№151</t>
  </si>
  <si>
    <t>Дез засіб</t>
  </si>
  <si>
    <t>ДНЗ №202</t>
  </si>
  <si>
    <t>Стілаж</t>
  </si>
  <si>
    <t>Тримач д/паперових рушників</t>
  </si>
  <si>
    <t>Халат,фартух,наголовник</t>
  </si>
  <si>
    <t>20</t>
  </si>
  <si>
    <t>ДНЗ №254</t>
  </si>
  <si>
    <t>Мило господ,сода кальцинована</t>
  </si>
  <si>
    <t>Електросушарка</t>
  </si>
  <si>
    <t>Швейна машинка</t>
  </si>
  <si>
    <t>Меблі(шафа,диван,)</t>
  </si>
  <si>
    <t>Килимова доріжка</t>
  </si>
  <si>
    <t>900</t>
  </si>
  <si>
    <t>Разом за серпень по ДНЗ:</t>
  </si>
  <si>
    <t>КЗШ №31</t>
  </si>
  <si>
    <t>Шафа д/одягу</t>
  </si>
  <si>
    <t>Крейда д/ білування</t>
  </si>
  <si>
    <t>КНВК № 35</t>
  </si>
  <si>
    <t>Фліпчарт</t>
  </si>
  <si>
    <t>Вікна м/п</t>
  </si>
  <si>
    <t>Двері м/п</t>
  </si>
  <si>
    <t>Двері</t>
  </si>
  <si>
    <t>Засувки на тепломережу</t>
  </si>
  <si>
    <t>Госп товари( фарба,пензли,валікі та інш,)</t>
  </si>
  <si>
    <t>КЗШ № 68</t>
  </si>
  <si>
    <t>Лави різнокольорові</t>
  </si>
  <si>
    <t>Прапор України,Кривого рогу</t>
  </si>
  <si>
    <t>Мемориальна дошка</t>
  </si>
  <si>
    <t>КЗШ № 122</t>
  </si>
  <si>
    <t>Пензли,валіки</t>
  </si>
  <si>
    <t>Мило рідке</t>
  </si>
  <si>
    <t>Разом за серпень по КЗШ:</t>
  </si>
  <si>
    <t>ДЮСШ - 10</t>
  </si>
  <si>
    <t>Пензли</t>
  </si>
  <si>
    <t>Разом за серпень по ДЮСШ:</t>
  </si>
  <si>
    <t>Всього по закладам:</t>
  </si>
  <si>
    <t>Благодійні внески за серпень місяць 2020рік.</t>
  </si>
  <si>
    <t>Фахівець Ірина Моря</t>
  </si>
  <si>
    <t>Вікна метелопластикові (2блока)</t>
  </si>
  <si>
    <t>Наматрасник</t>
  </si>
  <si>
    <t>Туалетний папір,</t>
  </si>
  <si>
    <t>Бензопила</t>
  </si>
  <si>
    <t>ДЮСШ-10</t>
  </si>
  <si>
    <t>Пензлик,ганчір’я</t>
  </si>
  <si>
    <t>Гімнастична стінка</t>
  </si>
  <si>
    <t>Благодійні внески за вересень місяць 2020рік.</t>
  </si>
</sst>
</file>

<file path=xl/styles.xml><?xml version="1.0" encoding="utf-8"?>
<styleSheet xmlns="http://schemas.openxmlformats.org/spreadsheetml/2006/main">
  <numFmts count="1">
    <numFmt numFmtId="164" formatCode="0.0"/>
  </numFmts>
  <fonts count="4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i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6"/>
      <color indexed="8"/>
      <name val="Times New Roman"/>
      <family val="1"/>
      <charset val="204"/>
    </font>
    <font>
      <b/>
      <sz val="14"/>
      <color indexed="43"/>
      <name val="Times New Roman"/>
      <family val="1"/>
      <charset val="204"/>
    </font>
    <font>
      <sz val="14"/>
      <color indexed="43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indexed="8"/>
      <name val="Calibri"/>
      <family val="2"/>
      <charset val="204"/>
    </font>
    <font>
      <i/>
      <sz val="18"/>
      <color indexed="8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color indexed="8"/>
      <name val="Times New Roman"/>
      <family val="1"/>
      <charset val="204"/>
    </font>
    <font>
      <sz val="16"/>
      <color indexed="8"/>
      <name val="Calibri"/>
      <family val="2"/>
      <charset val="204"/>
    </font>
    <font>
      <b/>
      <i/>
      <sz val="20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24">
    <xf numFmtId="0" fontId="0" fillId="0" borderId="0" xfId="0"/>
    <xf numFmtId="0" fontId="0" fillId="2" borderId="0" xfId="0" applyFill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3" fillId="3" borderId="0" xfId="0" applyFont="1" applyFill="1"/>
    <xf numFmtId="49" fontId="4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2" borderId="0" xfId="0" applyFont="1" applyFill="1"/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3" fillId="2" borderId="0" xfId="0" applyFont="1" applyFill="1"/>
    <xf numFmtId="2" fontId="3" fillId="0" borderId="0" xfId="0" applyNumberFormat="1" applyFont="1"/>
    <xf numFmtId="2" fontId="4" fillId="0" borderId="0" xfId="0" applyNumberFormat="1" applyFont="1" applyBorder="1"/>
    <xf numFmtId="0" fontId="4" fillId="2" borderId="2" xfId="0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2" fontId="4" fillId="0" borderId="0" xfId="0" applyNumberFormat="1" applyFont="1"/>
    <xf numFmtId="1" fontId="4" fillId="2" borderId="2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2" fontId="5" fillId="3" borderId="2" xfId="0" applyNumberFormat="1" applyFont="1" applyFill="1" applyBorder="1" applyAlignment="1">
      <alignment horizontal="center" vertical="center"/>
    </xf>
    <xf numFmtId="2" fontId="3" fillId="3" borderId="0" xfId="0" applyNumberFormat="1" applyFont="1" applyFill="1"/>
    <xf numFmtId="2" fontId="6" fillId="2" borderId="0" xfId="0" applyNumberFormat="1" applyFont="1" applyFill="1"/>
    <xf numFmtId="0" fontId="7" fillId="2" borderId="2" xfId="0" applyFont="1" applyFill="1" applyBorder="1" applyAlignment="1">
      <alignment horizontal="center"/>
    </xf>
    <xf numFmtId="0" fontId="7" fillId="2" borderId="3" xfId="0" applyNumberFormat="1" applyFont="1" applyFill="1" applyBorder="1" applyAlignment="1">
      <alignment horizontal="center"/>
    </xf>
    <xf numFmtId="0" fontId="7" fillId="2" borderId="2" xfId="0" applyNumberFormat="1" applyFont="1" applyFill="1" applyBorder="1" applyAlignment="1">
      <alignment horizontal="center"/>
    </xf>
    <xf numFmtId="2" fontId="7" fillId="2" borderId="2" xfId="0" applyNumberFormat="1" applyFont="1" applyFill="1" applyBorder="1" applyAlignment="1">
      <alignment horizontal="center"/>
    </xf>
    <xf numFmtId="4" fontId="7" fillId="2" borderId="2" xfId="0" applyNumberFormat="1" applyFont="1" applyFill="1" applyBorder="1" applyAlignment="1">
      <alignment horizontal="center"/>
    </xf>
    <xf numFmtId="0" fontId="7" fillId="2" borderId="3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4" fontId="7" fillId="0" borderId="2" xfId="0" applyNumberFormat="1" applyFont="1" applyBorder="1" applyAlignment="1">
      <alignment horizontal="center"/>
    </xf>
    <xf numFmtId="0" fontId="7" fillId="2" borderId="2" xfId="0" applyFont="1" applyFill="1" applyBorder="1" applyAlignment="1"/>
    <xf numFmtId="2" fontId="7" fillId="2" borderId="4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4" fontId="7" fillId="0" borderId="0" xfId="0" applyNumberFormat="1" applyFont="1" applyBorder="1"/>
    <xf numFmtId="0" fontId="10" fillId="0" borderId="0" xfId="0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/>
    </xf>
    <xf numFmtId="0" fontId="8" fillId="4" borderId="2" xfId="0" applyFont="1" applyFill="1" applyBorder="1" applyAlignment="1"/>
    <xf numFmtId="0" fontId="8" fillId="4" borderId="4" xfId="0" applyFont="1" applyFill="1" applyBorder="1"/>
    <xf numFmtId="4" fontId="8" fillId="4" borderId="2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NumberFormat="1" applyFont="1" applyFill="1" applyBorder="1" applyAlignment="1">
      <alignment horizontal="center"/>
    </xf>
    <xf numFmtId="0" fontId="7" fillId="3" borderId="2" xfId="0" applyNumberFormat="1" applyFont="1" applyFill="1" applyBorder="1" applyAlignment="1">
      <alignment horizontal="center"/>
    </xf>
    <xf numFmtId="0" fontId="8" fillId="3" borderId="2" xfId="0" applyNumberFormat="1" applyFont="1" applyFill="1" applyBorder="1" applyAlignment="1">
      <alignment horizontal="center"/>
    </xf>
    <xf numFmtId="2" fontId="8" fillId="3" borderId="2" xfId="0" applyNumberFormat="1" applyFont="1" applyFill="1" applyBorder="1" applyAlignment="1">
      <alignment horizontal="center"/>
    </xf>
    <xf numFmtId="4" fontId="8" fillId="3" borderId="2" xfId="0" applyNumberFormat="1" applyFont="1" applyFill="1" applyBorder="1" applyAlignment="1">
      <alignment horizontal="center"/>
    </xf>
    <xf numFmtId="0" fontId="7" fillId="3" borderId="2" xfId="0" applyFont="1" applyFill="1" applyBorder="1"/>
    <xf numFmtId="0" fontId="8" fillId="3" borderId="2" xfId="0" applyFont="1" applyFill="1" applyBorder="1" applyAlignment="1">
      <alignment horizontal="center"/>
    </xf>
    <xf numFmtId="0" fontId="10" fillId="3" borderId="2" xfId="0" applyFont="1" applyFill="1" applyBorder="1"/>
    <xf numFmtId="2" fontId="10" fillId="3" borderId="2" xfId="0" applyNumberFormat="1" applyFont="1" applyFill="1" applyBorder="1"/>
    <xf numFmtId="0" fontId="7" fillId="3" borderId="3" xfId="0" applyFont="1" applyFill="1" applyBorder="1"/>
    <xf numFmtId="0" fontId="11" fillId="3" borderId="2" xfId="0" applyNumberFormat="1" applyFont="1" applyFill="1" applyBorder="1" applyAlignment="1">
      <alignment horizontal="center" vertical="center"/>
    </xf>
    <xf numFmtId="0" fontId="11" fillId="3" borderId="2" xfId="0" applyNumberFormat="1" applyFont="1" applyFill="1" applyBorder="1" applyAlignment="1">
      <alignment horizontal="center"/>
    </xf>
    <xf numFmtId="2" fontId="11" fillId="3" borderId="2" xfId="0" applyNumberFormat="1" applyFont="1" applyFill="1" applyBorder="1" applyAlignment="1">
      <alignment horizontal="center"/>
    </xf>
    <xf numFmtId="4" fontId="11" fillId="3" borderId="2" xfId="0" applyNumberFormat="1" applyFont="1" applyFill="1" applyBorder="1" applyAlignment="1">
      <alignment horizontal="center"/>
    </xf>
    <xf numFmtId="0" fontId="7" fillId="3" borderId="2" xfId="0" applyNumberFormat="1" applyFont="1" applyFill="1" applyBorder="1" applyAlignment="1">
      <alignment horizontal="center" vertical="center"/>
    </xf>
    <xf numFmtId="2" fontId="7" fillId="3" borderId="2" xfId="0" applyNumberFormat="1" applyFont="1" applyFill="1" applyBorder="1" applyAlignment="1">
      <alignment horizontal="center"/>
    </xf>
    <xf numFmtId="0" fontId="8" fillId="3" borderId="2" xfId="0" applyFont="1" applyFill="1" applyBorder="1" applyAlignment="1"/>
    <xf numFmtId="2" fontId="14" fillId="4" borderId="2" xfId="0" applyNumberFormat="1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vertical="center"/>
    </xf>
    <xf numFmtId="0" fontId="15" fillId="4" borderId="4" xfId="0" applyFont="1" applyFill="1" applyBorder="1" applyAlignment="1">
      <alignment vertical="center"/>
    </xf>
    <xf numFmtId="4" fontId="15" fillId="4" borderId="2" xfId="0" applyNumberFormat="1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2" fontId="18" fillId="0" borderId="2" xfId="0" applyNumberFormat="1" applyFont="1" applyBorder="1" applyAlignment="1">
      <alignment vertical="center"/>
    </xf>
    <xf numFmtId="2" fontId="18" fillId="3" borderId="2" xfId="0" applyNumberFormat="1" applyFont="1" applyFill="1" applyBorder="1" applyAlignment="1">
      <alignment horizontal="center" vertical="center"/>
    </xf>
    <xf numFmtId="2" fontId="18" fillId="0" borderId="6" xfId="0" applyNumberFormat="1" applyFont="1" applyBorder="1" applyAlignment="1">
      <alignment horizontal="center" vertical="center"/>
    </xf>
    <xf numFmtId="2" fontId="18" fillId="0" borderId="2" xfId="0" applyNumberFormat="1" applyFont="1" applyBorder="1" applyAlignment="1">
      <alignment horizontal="center" vertical="center"/>
    </xf>
    <xf numFmtId="2" fontId="18" fillId="0" borderId="7" xfId="0" applyNumberFormat="1" applyFont="1" applyBorder="1" applyAlignment="1">
      <alignment horizontal="center" vertical="center"/>
    </xf>
    <xf numFmtId="2" fontId="18" fillId="2" borderId="6" xfId="0" applyNumberFormat="1" applyFont="1" applyFill="1" applyBorder="1" applyAlignment="1">
      <alignment horizontal="center" vertical="center"/>
    </xf>
    <xf numFmtId="2" fontId="18" fillId="3" borderId="2" xfId="0" applyNumberFormat="1" applyFont="1" applyFill="1" applyBorder="1" applyAlignment="1">
      <alignment vertical="center"/>
    </xf>
    <xf numFmtId="4" fontId="20" fillId="4" borderId="2" xfId="0" applyNumberFormat="1" applyFont="1" applyFill="1" applyBorder="1" applyAlignment="1">
      <alignment horizontal="center" vertical="center"/>
    </xf>
    <xf numFmtId="0" fontId="16" fillId="0" borderId="0" xfId="0" applyFont="1"/>
    <xf numFmtId="2" fontId="18" fillId="3" borderId="6" xfId="0" applyNumberFormat="1" applyFont="1" applyFill="1" applyBorder="1" applyAlignment="1">
      <alignment horizontal="center" vertical="center"/>
    </xf>
    <xf numFmtId="0" fontId="18" fillId="3" borderId="2" xfId="0" applyFont="1" applyFill="1" applyBorder="1"/>
    <xf numFmtId="2" fontId="18" fillId="0" borderId="2" xfId="0" applyNumberFormat="1" applyFont="1" applyBorder="1"/>
    <xf numFmtId="2" fontId="18" fillId="3" borderId="2" xfId="0" applyNumberFormat="1" applyFont="1" applyFill="1" applyBorder="1"/>
    <xf numFmtId="2" fontId="19" fillId="4" borderId="2" xfId="0" applyNumberFormat="1" applyFont="1" applyFill="1" applyBorder="1" applyAlignment="1">
      <alignment vertical="center"/>
    </xf>
    <xf numFmtId="2" fontId="9" fillId="3" borderId="2" xfId="0" applyNumberFormat="1" applyFont="1" applyFill="1" applyBorder="1" applyAlignment="1">
      <alignment vertical="center"/>
    </xf>
    <xf numFmtId="2" fontId="9" fillId="2" borderId="2" xfId="0" applyNumberFormat="1" applyFont="1" applyFill="1" applyBorder="1" applyAlignment="1">
      <alignment vertical="center"/>
    </xf>
    <xf numFmtId="0" fontId="9" fillId="3" borderId="2" xfId="0" applyFont="1" applyFill="1" applyBorder="1"/>
    <xf numFmtId="2" fontId="9" fillId="0" borderId="2" xfId="0" applyNumberFormat="1" applyFont="1" applyBorder="1" applyAlignment="1">
      <alignment vertical="center"/>
    </xf>
    <xf numFmtId="2" fontId="9" fillId="2" borderId="6" xfId="0" applyNumberFormat="1" applyFont="1" applyFill="1" applyBorder="1" applyAlignment="1">
      <alignment vertical="center"/>
    </xf>
    <xf numFmtId="2" fontId="9" fillId="3" borderId="6" xfId="0" applyNumberFormat="1" applyFont="1" applyFill="1" applyBorder="1" applyAlignment="1">
      <alignment vertical="center"/>
    </xf>
    <xf numFmtId="4" fontId="20" fillId="4" borderId="2" xfId="0" applyNumberFormat="1" applyFont="1" applyFill="1" applyBorder="1" applyAlignment="1">
      <alignment horizontal="center"/>
    </xf>
    <xf numFmtId="4" fontId="9" fillId="2" borderId="2" xfId="0" applyNumberFormat="1" applyFont="1" applyFill="1" applyBorder="1" applyAlignment="1">
      <alignment horizontal="center"/>
    </xf>
    <xf numFmtId="4" fontId="20" fillId="3" borderId="2" xfId="0" applyNumberFormat="1" applyFont="1" applyFill="1" applyBorder="1" applyAlignment="1">
      <alignment horizontal="center"/>
    </xf>
    <xf numFmtId="2" fontId="9" fillId="0" borderId="0" xfId="0" applyNumberFormat="1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0" fontId="18" fillId="0" borderId="0" xfId="0" applyFont="1"/>
    <xf numFmtId="2" fontId="18" fillId="2" borderId="6" xfId="0" applyNumberFormat="1" applyFont="1" applyFill="1" applyBorder="1" applyAlignment="1">
      <alignment vertical="center"/>
    </xf>
    <xf numFmtId="2" fontId="9" fillId="2" borderId="6" xfId="0" applyNumberFormat="1" applyFont="1" applyFill="1" applyBorder="1" applyAlignment="1">
      <alignment horizontal="center" vertical="center"/>
    </xf>
    <xf numFmtId="2" fontId="18" fillId="5" borderId="6" xfId="0" applyNumberFormat="1" applyFont="1" applyFill="1" applyBorder="1" applyAlignment="1">
      <alignment vertical="center"/>
    </xf>
    <xf numFmtId="2" fontId="9" fillId="2" borderId="7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1" fontId="4" fillId="5" borderId="2" xfId="0" applyNumberFormat="1" applyFont="1" applyFill="1" applyBorder="1" applyAlignment="1">
      <alignment horizontal="center" vertical="center"/>
    </xf>
    <xf numFmtId="2" fontId="4" fillId="5" borderId="2" xfId="0" applyNumberFormat="1" applyFont="1" applyFill="1" applyBorder="1" applyAlignment="1">
      <alignment horizontal="center" vertical="center"/>
    </xf>
    <xf numFmtId="2" fontId="5" fillId="5" borderId="2" xfId="0" applyNumberFormat="1" applyFont="1" applyFill="1" applyBorder="1" applyAlignment="1">
      <alignment horizontal="center" vertical="center"/>
    </xf>
    <xf numFmtId="2" fontId="9" fillId="2" borderId="8" xfId="0" applyNumberFormat="1" applyFont="1" applyFill="1" applyBorder="1" applyAlignment="1">
      <alignment horizontal="center" vertical="center"/>
    </xf>
    <xf numFmtId="2" fontId="10" fillId="2" borderId="2" xfId="0" applyNumberFormat="1" applyFont="1" applyFill="1" applyBorder="1"/>
    <xf numFmtId="0" fontId="7" fillId="0" borderId="9" xfId="0" applyNumberFormat="1" applyFont="1" applyBorder="1" applyAlignment="1">
      <alignment horizontal="center" vertical="center"/>
    </xf>
    <xf numFmtId="0" fontId="7" fillId="0" borderId="7" xfId="0" applyNumberFormat="1" applyFont="1" applyBorder="1" applyAlignment="1">
      <alignment horizontal="center"/>
    </xf>
    <xf numFmtId="0" fontId="22" fillId="0" borderId="10" xfId="0" applyFont="1" applyBorder="1"/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4" fillId="2" borderId="2" xfId="0" applyFont="1" applyFill="1" applyBorder="1"/>
    <xf numFmtId="2" fontId="4" fillId="2" borderId="2" xfId="0" applyNumberFormat="1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15" fillId="4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2" fontId="9" fillId="0" borderId="6" xfId="0" applyNumberFormat="1" applyFont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/>
    </xf>
    <xf numFmtId="0" fontId="7" fillId="3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" fontId="7" fillId="3" borderId="2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/>
    </xf>
    <xf numFmtId="0" fontId="0" fillId="0" borderId="0" xfId="0" applyBorder="1"/>
    <xf numFmtId="0" fontId="7" fillId="2" borderId="0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/>
    </xf>
    <xf numFmtId="2" fontId="7" fillId="0" borderId="2" xfId="0" applyNumberFormat="1" applyFont="1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2" xfId="0" applyFont="1" applyFill="1" applyBorder="1"/>
    <xf numFmtId="2" fontId="4" fillId="0" borderId="2" xfId="0" applyNumberFormat="1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/>
    </xf>
    <xf numFmtId="2" fontId="11" fillId="0" borderId="2" xfId="0" applyNumberFormat="1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 vertical="center" wrapText="1"/>
    </xf>
    <xf numFmtId="2" fontId="18" fillId="0" borderId="2" xfId="0" applyNumberFormat="1" applyFont="1" applyFill="1" applyBorder="1" applyAlignment="1">
      <alignment vertical="center"/>
    </xf>
    <xf numFmtId="0" fontId="7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4" fontId="15" fillId="2" borderId="0" xfId="0" applyNumberFormat="1" applyFont="1" applyFill="1" applyBorder="1" applyAlignment="1">
      <alignment horizontal="center" vertical="center"/>
    </xf>
    <xf numFmtId="4" fontId="20" fillId="2" borderId="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5" fillId="5" borderId="2" xfId="0" applyFont="1" applyFill="1" applyBorder="1" applyAlignment="1">
      <alignment vertical="center"/>
    </xf>
    <xf numFmtId="0" fontId="4" fillId="5" borderId="2" xfId="0" applyNumberFormat="1" applyFont="1" applyFill="1" applyBorder="1" applyAlignment="1">
      <alignment horizontal="center" vertical="center"/>
    </xf>
    <xf numFmtId="2" fontId="18" fillId="5" borderId="6" xfId="0" applyNumberFormat="1" applyFont="1" applyFill="1" applyBorder="1" applyAlignment="1">
      <alignment horizontal="center" vertical="center"/>
    </xf>
    <xf numFmtId="0" fontId="23" fillId="5" borderId="2" xfId="0" applyFont="1" applyFill="1" applyBorder="1" applyAlignment="1">
      <alignment vertical="center"/>
    </xf>
    <xf numFmtId="0" fontId="24" fillId="2" borderId="2" xfId="0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25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2" fontId="4" fillId="2" borderId="6" xfId="0" applyNumberFormat="1" applyFont="1" applyFill="1" applyBorder="1" applyAlignment="1">
      <alignment vertical="center"/>
    </xf>
    <xf numFmtId="0" fontId="7" fillId="5" borderId="2" xfId="0" applyFont="1" applyFill="1" applyBorder="1" applyAlignment="1">
      <alignment horizontal="center" vertical="center"/>
    </xf>
    <xf numFmtId="1" fontId="7" fillId="5" borderId="2" xfId="0" applyNumberFormat="1" applyFont="1" applyFill="1" applyBorder="1" applyAlignment="1">
      <alignment horizontal="center" vertical="center"/>
    </xf>
    <xf numFmtId="2" fontId="7" fillId="5" borderId="2" xfId="0" applyNumberFormat="1" applyFont="1" applyFill="1" applyBorder="1" applyAlignment="1">
      <alignment horizontal="center" vertical="center"/>
    </xf>
    <xf numFmtId="2" fontId="11" fillId="5" borderId="2" xfId="0" applyNumberFormat="1" applyFont="1" applyFill="1" applyBorder="1" applyAlignment="1">
      <alignment horizontal="center" vertical="center"/>
    </xf>
    <xf numFmtId="2" fontId="4" fillId="5" borderId="6" xfId="0" applyNumberFormat="1" applyFont="1" applyFill="1" applyBorder="1" applyAlignment="1">
      <alignment vertical="center"/>
    </xf>
    <xf numFmtId="2" fontId="4" fillId="0" borderId="6" xfId="0" applyNumberFormat="1" applyFont="1" applyBorder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1" fontId="7" fillId="3" borderId="2" xfId="0" applyNumberFormat="1" applyFont="1" applyFill="1" applyBorder="1" applyAlignment="1">
      <alignment horizontal="center" vertical="center"/>
    </xf>
    <xf numFmtId="2" fontId="7" fillId="3" borderId="2" xfId="0" applyNumberFormat="1" applyFont="1" applyFill="1" applyBorder="1" applyAlignment="1">
      <alignment horizontal="center" vertical="center"/>
    </xf>
    <xf numFmtId="2" fontId="11" fillId="3" borderId="2" xfId="0" applyNumberFormat="1" applyFont="1" applyFill="1" applyBorder="1" applyAlignment="1">
      <alignment horizontal="center" vertical="center"/>
    </xf>
    <xf numFmtId="2" fontId="4" fillId="3" borderId="2" xfId="0" applyNumberFormat="1" applyFont="1" applyFill="1" applyBorder="1"/>
    <xf numFmtId="2" fontId="5" fillId="4" borderId="2" xfId="0" applyNumberFormat="1" applyFont="1" applyFill="1" applyBorder="1" applyAlignment="1">
      <alignment horizontal="center" vertical="center"/>
    </xf>
    <xf numFmtId="2" fontId="5" fillId="4" borderId="2" xfId="0" applyNumberFormat="1" applyFont="1" applyFill="1" applyBorder="1" applyAlignment="1">
      <alignment vertical="center"/>
    </xf>
    <xf numFmtId="0" fontId="26" fillId="2" borderId="2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vertical="center"/>
    </xf>
    <xf numFmtId="0" fontId="5" fillId="3" borderId="13" xfId="0" applyFont="1" applyFill="1" applyBorder="1"/>
    <xf numFmtId="0" fontId="2" fillId="3" borderId="3" xfId="0" applyFont="1" applyFill="1" applyBorder="1" applyAlignment="1">
      <alignment horizontal="center" vertical="center"/>
    </xf>
    <xf numFmtId="2" fontId="5" fillId="3" borderId="6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2" fontId="7" fillId="2" borderId="6" xfId="0" applyNumberFormat="1" applyFont="1" applyFill="1" applyBorder="1" applyAlignment="1">
      <alignment horizontal="center" vertical="center"/>
    </xf>
    <xf numFmtId="2" fontId="7" fillId="3" borderId="2" xfId="0" applyNumberFormat="1" applyFont="1" applyFill="1" applyBorder="1" applyAlignment="1">
      <alignment vertical="center"/>
    </xf>
    <xf numFmtId="2" fontId="7" fillId="2" borderId="7" xfId="0" applyNumberFormat="1" applyFont="1" applyFill="1" applyBorder="1" applyAlignment="1">
      <alignment horizontal="center" vertical="center"/>
    </xf>
    <xf numFmtId="0" fontId="4" fillId="3" borderId="2" xfId="0" applyFont="1" applyFill="1" applyBorder="1"/>
    <xf numFmtId="0" fontId="4" fillId="3" borderId="2" xfId="0" applyFont="1" applyFill="1" applyBorder="1" applyAlignment="1">
      <alignment horizont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vertical="center"/>
    </xf>
    <xf numFmtId="4" fontId="4" fillId="0" borderId="2" xfId="0" applyNumberFormat="1" applyFont="1" applyFill="1" applyBorder="1" applyAlignment="1">
      <alignment horizontal="center" vertical="center"/>
    </xf>
    <xf numFmtId="0" fontId="4" fillId="3" borderId="3" xfId="0" applyNumberFormat="1" applyFont="1" applyFill="1" applyBorder="1" applyAlignment="1">
      <alignment horizontal="center"/>
    </xf>
    <xf numFmtId="0" fontId="4" fillId="3" borderId="2" xfId="0" applyNumberFormat="1" applyFont="1" applyFill="1" applyBorder="1" applyAlignment="1">
      <alignment horizontal="center"/>
    </xf>
    <xf numFmtId="2" fontId="4" fillId="3" borderId="2" xfId="0" applyNumberFormat="1" applyFont="1" applyFill="1" applyBorder="1" applyAlignment="1">
      <alignment vertical="center"/>
    </xf>
    <xf numFmtId="0" fontId="4" fillId="2" borderId="3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2" fontId="7" fillId="2" borderId="6" xfId="0" applyNumberFormat="1" applyFont="1" applyFill="1" applyBorder="1" applyAlignment="1">
      <alignment vertical="center"/>
    </xf>
    <xf numFmtId="2" fontId="4" fillId="3" borderId="6" xfId="0" applyNumberFormat="1" applyFont="1" applyFill="1" applyBorder="1" applyAlignment="1">
      <alignment vertical="center"/>
    </xf>
    <xf numFmtId="0" fontId="4" fillId="0" borderId="3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25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2" fontId="5" fillId="5" borderId="6" xfId="0" applyNumberFormat="1" applyFont="1" applyFill="1" applyBorder="1" applyAlignment="1">
      <alignment vertical="center"/>
    </xf>
    <xf numFmtId="0" fontId="2" fillId="5" borderId="3" xfId="0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4" fontId="5" fillId="3" borderId="2" xfId="0" applyNumberFormat="1" applyFont="1" applyFill="1" applyBorder="1" applyAlignment="1">
      <alignment horizontal="center"/>
    </xf>
    <xf numFmtId="0" fontId="3" fillId="5" borderId="0" xfId="0" applyFont="1" applyFill="1"/>
    <xf numFmtId="2" fontId="7" fillId="3" borderId="4" xfId="0" applyNumberFormat="1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3" xfId="0" applyNumberFormat="1" applyFont="1" applyFill="1" applyBorder="1" applyAlignment="1">
      <alignment horizontal="center"/>
    </xf>
    <xf numFmtId="0" fontId="7" fillId="5" borderId="2" xfId="0" applyNumberFormat="1" applyFont="1" applyFill="1" applyBorder="1" applyAlignment="1">
      <alignment horizontal="center"/>
    </xf>
    <xf numFmtId="0" fontId="7" fillId="5" borderId="2" xfId="0" applyNumberFormat="1" applyFont="1" applyFill="1" applyBorder="1" applyAlignment="1">
      <alignment horizontal="center" vertical="center"/>
    </xf>
    <xf numFmtId="2" fontId="7" fillId="5" borderId="2" xfId="0" applyNumberFormat="1" applyFont="1" applyFill="1" applyBorder="1" applyAlignment="1">
      <alignment horizontal="center"/>
    </xf>
    <xf numFmtId="0" fontId="0" fillId="5" borderId="0" xfId="0" applyFill="1"/>
    <xf numFmtId="4" fontId="5" fillId="5" borderId="2" xfId="0" applyNumberFormat="1" applyFont="1" applyFill="1" applyBorder="1" applyAlignment="1">
      <alignment horizontal="center"/>
    </xf>
    <xf numFmtId="4" fontId="5" fillId="2" borderId="2" xfId="0" applyNumberFormat="1" applyFont="1" applyFill="1" applyBorder="1" applyAlignment="1">
      <alignment horizontal="center"/>
    </xf>
    <xf numFmtId="0" fontId="5" fillId="3" borderId="3" xfId="0" applyNumberFormat="1" applyFont="1" applyFill="1" applyBorder="1" applyAlignment="1">
      <alignment horizontal="center"/>
    </xf>
    <xf numFmtId="0" fontId="27" fillId="5" borderId="2" xfId="0" applyFont="1" applyFill="1" applyBorder="1" applyAlignment="1">
      <alignment horizontal="center" vertical="center"/>
    </xf>
    <xf numFmtId="0" fontId="5" fillId="5" borderId="2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 vertical="center"/>
    </xf>
    <xf numFmtId="2" fontId="25" fillId="2" borderId="2" xfId="0" applyNumberFormat="1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/>
    </xf>
    <xf numFmtId="0" fontId="25" fillId="2" borderId="9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2" fontId="3" fillId="2" borderId="0" xfId="0" applyNumberFormat="1" applyFont="1" applyFill="1"/>
    <xf numFmtId="0" fontId="0" fillId="3" borderId="0" xfId="0" applyFill="1"/>
    <xf numFmtId="4" fontId="5" fillId="4" borderId="2" xfId="0" applyNumberFormat="1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0" fillId="4" borderId="0" xfId="0" applyFill="1"/>
    <xf numFmtId="2" fontId="11" fillId="2" borderId="2" xfId="0" applyNumberFormat="1" applyFont="1" applyFill="1" applyBorder="1" applyAlignment="1">
      <alignment horizontal="center" vertical="center"/>
    </xf>
    <xf numFmtId="2" fontId="11" fillId="4" borderId="2" xfId="0" applyNumberFormat="1" applyFont="1" applyFill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/>
    </xf>
    <xf numFmtId="4" fontId="11" fillId="5" borderId="2" xfId="0" applyNumberFormat="1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4" fontId="11" fillId="4" borderId="2" xfId="0" applyNumberFormat="1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2" borderId="0" xfId="0" applyFont="1" applyFill="1"/>
    <xf numFmtId="0" fontId="28" fillId="0" borderId="0" xfId="0" applyFont="1"/>
    <xf numFmtId="0" fontId="30" fillId="0" borderId="12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2" fontId="30" fillId="0" borderId="1" xfId="0" applyNumberFormat="1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/>
    </xf>
    <xf numFmtId="0" fontId="28" fillId="2" borderId="2" xfId="0" applyNumberFormat="1" applyFont="1" applyFill="1" applyBorder="1" applyAlignment="1">
      <alignment horizontal="center" vertical="center"/>
    </xf>
    <xf numFmtId="2" fontId="28" fillId="2" borderId="2" xfId="0" applyNumberFormat="1" applyFont="1" applyFill="1" applyBorder="1" applyAlignment="1">
      <alignment horizontal="center" vertical="center"/>
    </xf>
    <xf numFmtId="2" fontId="31" fillId="2" borderId="2" xfId="0" applyNumberFormat="1" applyFont="1" applyFill="1" applyBorder="1" applyAlignment="1">
      <alignment horizontal="center" vertical="center"/>
    </xf>
    <xf numFmtId="0" fontId="28" fillId="5" borderId="2" xfId="0" applyFont="1" applyFill="1" applyBorder="1" applyAlignment="1">
      <alignment horizontal="center" vertical="center"/>
    </xf>
    <xf numFmtId="0" fontId="32" fillId="5" borderId="2" xfId="0" applyFont="1" applyFill="1" applyBorder="1" applyAlignment="1">
      <alignment vertical="center"/>
    </xf>
    <xf numFmtId="0" fontId="28" fillId="5" borderId="2" xfId="0" applyNumberFormat="1" applyFont="1" applyFill="1" applyBorder="1" applyAlignment="1">
      <alignment horizontal="center" vertical="center"/>
    </xf>
    <xf numFmtId="2" fontId="28" fillId="5" borderId="2" xfId="0" applyNumberFormat="1" applyFont="1" applyFill="1" applyBorder="1" applyAlignment="1">
      <alignment horizontal="center" vertical="center"/>
    </xf>
    <xf numFmtId="2" fontId="32" fillId="5" borderId="2" xfId="0" applyNumberFormat="1" applyFont="1" applyFill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49" fontId="28" fillId="2" borderId="2" xfId="0" applyNumberFormat="1" applyFont="1" applyFill="1" applyBorder="1" applyAlignment="1">
      <alignment horizontal="center" vertical="center"/>
    </xf>
    <xf numFmtId="2" fontId="32" fillId="2" borderId="2" xfId="0" applyNumberFormat="1" applyFont="1" applyFill="1" applyBorder="1" applyAlignment="1">
      <alignment horizontal="center" vertical="center"/>
    </xf>
    <xf numFmtId="1" fontId="28" fillId="0" borderId="2" xfId="0" applyNumberFormat="1" applyFont="1" applyBorder="1" applyAlignment="1">
      <alignment horizontal="center" vertical="center"/>
    </xf>
    <xf numFmtId="2" fontId="28" fillId="0" borderId="2" xfId="0" applyNumberFormat="1" applyFont="1" applyBorder="1" applyAlignment="1">
      <alignment horizontal="center" vertical="center"/>
    </xf>
    <xf numFmtId="2" fontId="32" fillId="0" borderId="2" xfId="0" applyNumberFormat="1" applyFont="1" applyBorder="1" applyAlignment="1">
      <alignment horizontal="center" vertical="center"/>
    </xf>
    <xf numFmtId="0" fontId="28" fillId="3" borderId="2" xfId="0" applyFont="1" applyFill="1" applyBorder="1" applyAlignment="1">
      <alignment horizontal="center" vertical="center"/>
    </xf>
    <xf numFmtId="0" fontId="32" fillId="3" borderId="2" xfId="0" applyFont="1" applyFill="1" applyBorder="1" applyAlignment="1">
      <alignment horizontal="center" vertical="center"/>
    </xf>
    <xf numFmtId="49" fontId="28" fillId="3" borderId="2" xfId="0" applyNumberFormat="1" applyFont="1" applyFill="1" applyBorder="1" applyAlignment="1">
      <alignment horizontal="center" vertical="center"/>
    </xf>
    <xf numFmtId="2" fontId="28" fillId="3" borderId="2" xfId="0" applyNumberFormat="1" applyFont="1" applyFill="1" applyBorder="1" applyAlignment="1">
      <alignment horizontal="center" vertical="center"/>
    </xf>
    <xf numFmtId="2" fontId="32" fillId="3" borderId="2" xfId="0" applyNumberFormat="1" applyFont="1" applyFill="1" applyBorder="1" applyAlignment="1">
      <alignment horizontal="center" vertical="center"/>
    </xf>
    <xf numFmtId="0" fontId="28" fillId="3" borderId="0" xfId="0" applyFont="1" applyFill="1"/>
    <xf numFmtId="0" fontId="28" fillId="2" borderId="2" xfId="0" applyNumberFormat="1" applyFont="1" applyFill="1" applyBorder="1" applyAlignment="1">
      <alignment horizontal="center" vertical="center" wrapText="1"/>
    </xf>
    <xf numFmtId="0" fontId="32" fillId="5" borderId="2" xfId="0" applyFont="1" applyFill="1" applyBorder="1" applyAlignment="1">
      <alignment horizontal="center" vertical="center"/>
    </xf>
    <xf numFmtId="49" fontId="28" fillId="5" borderId="2" xfId="0" applyNumberFormat="1" applyFont="1" applyFill="1" applyBorder="1" applyAlignment="1">
      <alignment horizontal="center" vertical="center"/>
    </xf>
    <xf numFmtId="0" fontId="28" fillId="5" borderId="0" xfId="0" applyFont="1" applyFill="1"/>
    <xf numFmtId="2" fontId="32" fillId="4" borderId="2" xfId="0" applyNumberFormat="1" applyFont="1" applyFill="1" applyBorder="1" applyAlignment="1">
      <alignment horizontal="center" vertical="center"/>
    </xf>
    <xf numFmtId="2" fontId="32" fillId="2" borderId="0" xfId="0" applyNumberFormat="1" applyFont="1" applyFill="1"/>
    <xf numFmtId="0" fontId="32" fillId="2" borderId="0" xfId="0" applyFont="1" applyFill="1"/>
    <xf numFmtId="0" fontId="33" fillId="2" borderId="2" xfId="0" applyFont="1" applyFill="1" applyBorder="1" applyAlignment="1">
      <alignment horizontal="center" vertical="center"/>
    </xf>
    <xf numFmtId="0" fontId="30" fillId="5" borderId="2" xfId="0" applyFont="1" applyFill="1" applyBorder="1" applyAlignment="1">
      <alignment horizontal="center" vertical="center"/>
    </xf>
    <xf numFmtId="0" fontId="30" fillId="5" borderId="3" xfId="0" applyFont="1" applyFill="1" applyBorder="1" applyAlignment="1">
      <alignment horizontal="center" vertical="center"/>
    </xf>
    <xf numFmtId="0" fontId="33" fillId="5" borderId="2" xfId="0" applyFont="1" applyFill="1" applyBorder="1" applyAlignment="1">
      <alignment horizontal="center" vertical="center"/>
    </xf>
    <xf numFmtId="0" fontId="29" fillId="5" borderId="2" xfId="0" applyFont="1" applyFill="1" applyBorder="1" applyAlignment="1">
      <alignment horizontal="center" vertical="center"/>
    </xf>
    <xf numFmtId="0" fontId="33" fillId="2" borderId="9" xfId="0" applyFont="1" applyFill="1" applyBorder="1" applyAlignment="1">
      <alignment horizontal="center" vertical="center"/>
    </xf>
    <xf numFmtId="2" fontId="28" fillId="2" borderId="0" xfId="0" applyNumberFormat="1" applyFont="1" applyFill="1"/>
    <xf numFmtId="0" fontId="30" fillId="5" borderId="9" xfId="0" applyFont="1" applyFill="1" applyBorder="1" applyAlignment="1">
      <alignment horizontal="center" vertical="center"/>
    </xf>
    <xf numFmtId="0" fontId="30" fillId="5" borderId="7" xfId="0" applyFont="1" applyFill="1" applyBorder="1" applyAlignment="1">
      <alignment horizontal="center" vertical="center"/>
    </xf>
    <xf numFmtId="0" fontId="28" fillId="4" borderId="2" xfId="0" applyFont="1" applyFill="1" applyBorder="1" applyAlignment="1">
      <alignment horizontal="center"/>
    </xf>
    <xf numFmtId="0" fontId="34" fillId="4" borderId="0" xfId="0" applyFont="1" applyFill="1"/>
    <xf numFmtId="0" fontId="28" fillId="2" borderId="2" xfId="0" applyFont="1" applyFill="1" applyBorder="1" applyAlignment="1">
      <alignment horizontal="center"/>
    </xf>
    <xf numFmtId="0" fontId="28" fillId="2" borderId="3" xfId="0" applyFont="1" applyFill="1" applyBorder="1" applyAlignment="1">
      <alignment horizontal="center"/>
    </xf>
    <xf numFmtId="0" fontId="28" fillId="2" borderId="4" xfId="0" applyFont="1" applyFill="1" applyBorder="1" applyAlignment="1">
      <alignment horizontal="center"/>
    </xf>
    <xf numFmtId="4" fontId="32" fillId="2" borderId="2" xfId="0" applyNumberFormat="1" applyFont="1" applyFill="1" applyBorder="1" applyAlignment="1">
      <alignment horizontal="center"/>
    </xf>
    <xf numFmtId="0" fontId="34" fillId="2" borderId="0" xfId="0" applyFont="1" applyFill="1"/>
    <xf numFmtId="0" fontId="28" fillId="5" borderId="2" xfId="0" applyFont="1" applyFill="1" applyBorder="1" applyAlignment="1">
      <alignment horizontal="center"/>
    </xf>
    <xf numFmtId="0" fontId="31" fillId="5" borderId="2" xfId="0" applyFont="1" applyFill="1" applyBorder="1" applyAlignment="1">
      <alignment horizontal="center"/>
    </xf>
    <xf numFmtId="0" fontId="32" fillId="5" borderId="3" xfId="0" applyFont="1" applyFill="1" applyBorder="1" applyAlignment="1">
      <alignment horizontal="center"/>
    </xf>
    <xf numFmtId="0" fontId="31" fillId="5" borderId="2" xfId="0" applyFont="1" applyFill="1" applyBorder="1" applyAlignment="1"/>
    <xf numFmtId="0" fontId="31" fillId="5" borderId="4" xfId="0" applyFont="1" applyFill="1" applyBorder="1"/>
    <xf numFmtId="4" fontId="32" fillId="5" borderId="2" xfId="0" applyNumberFormat="1" applyFont="1" applyFill="1" applyBorder="1" applyAlignment="1">
      <alignment horizontal="center"/>
    </xf>
    <xf numFmtId="0" fontId="34" fillId="5" borderId="0" xfId="0" applyFont="1" applyFill="1"/>
    <xf numFmtId="0" fontId="31" fillId="4" borderId="2" xfId="0" applyFont="1" applyFill="1" applyBorder="1" applyAlignment="1">
      <alignment vertical="center"/>
    </xf>
    <xf numFmtId="0" fontId="31" fillId="4" borderId="2" xfId="0" applyFont="1" applyFill="1" applyBorder="1" applyAlignment="1">
      <alignment horizontal="center" vertical="center"/>
    </xf>
    <xf numFmtId="0" fontId="31" fillId="4" borderId="4" xfId="0" applyFont="1" applyFill="1" applyBorder="1" applyAlignment="1">
      <alignment vertical="center"/>
    </xf>
    <xf numFmtId="4" fontId="31" fillId="4" borderId="2" xfId="0" applyNumberFormat="1" applyFont="1" applyFill="1" applyBorder="1" applyAlignment="1">
      <alignment horizontal="center" vertical="center"/>
    </xf>
    <xf numFmtId="0" fontId="34" fillId="0" borderId="0" xfId="0" applyFont="1"/>
    <xf numFmtId="0" fontId="28" fillId="2" borderId="0" xfId="0" applyFont="1" applyFill="1" applyBorder="1" applyAlignment="1">
      <alignment horizontal="center"/>
    </xf>
    <xf numFmtId="0" fontId="31" fillId="2" borderId="0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vertical="center"/>
    </xf>
    <xf numFmtId="4" fontId="31" fillId="2" borderId="0" xfId="0" applyNumberFormat="1" applyFont="1" applyFill="1" applyBorder="1" applyAlignment="1">
      <alignment horizontal="center" vertical="center"/>
    </xf>
    <xf numFmtId="0" fontId="28" fillId="0" borderId="0" xfId="0" applyFont="1" applyBorder="1"/>
    <xf numFmtId="0" fontId="28" fillId="2" borderId="0" xfId="0" applyNumberFormat="1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4" fontId="28" fillId="0" borderId="0" xfId="0" applyNumberFormat="1" applyFont="1" applyBorder="1"/>
    <xf numFmtId="0" fontId="35" fillId="0" borderId="0" xfId="0" applyFont="1" applyBorder="1" applyAlignment="1">
      <alignment horizontal="center"/>
    </xf>
    <xf numFmtId="2" fontId="28" fillId="0" borderId="0" xfId="0" applyNumberFormat="1" applyFont="1" applyBorder="1" applyAlignment="1">
      <alignment horizontal="center"/>
    </xf>
    <xf numFmtId="2" fontId="28" fillId="0" borderId="0" xfId="0" applyNumberFormat="1" applyFont="1" applyBorder="1"/>
    <xf numFmtId="2" fontId="28" fillId="0" borderId="0" xfId="0" applyNumberFormat="1" applyFont="1"/>
    <xf numFmtId="0" fontId="23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0" fillId="0" borderId="2" xfId="0" applyBorder="1"/>
    <xf numFmtId="2" fontId="5" fillId="6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25" fillId="0" borderId="2" xfId="0" applyFont="1" applyFill="1" applyBorder="1" applyAlignment="1">
      <alignment vertical="center"/>
    </xf>
    <xf numFmtId="0" fontId="27" fillId="5" borderId="2" xfId="0" applyFont="1" applyFill="1" applyBorder="1" applyAlignment="1">
      <alignment vertical="center"/>
    </xf>
    <xf numFmtId="0" fontId="25" fillId="2" borderId="2" xfId="0" applyFont="1" applyFill="1" applyBorder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2" fontId="11" fillId="6" borderId="2" xfId="0" applyNumberFormat="1" applyFont="1" applyFill="1" applyBorder="1" applyAlignment="1">
      <alignment horizontal="center" vertical="center"/>
    </xf>
    <xf numFmtId="4" fontId="5" fillId="6" borderId="2" xfId="0" applyNumberFormat="1" applyFont="1" applyFill="1" applyBorder="1" applyAlignment="1">
      <alignment horizontal="center"/>
    </xf>
    <xf numFmtId="0" fontId="7" fillId="2" borderId="6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 wrapText="1"/>
    </xf>
    <xf numFmtId="4" fontId="8" fillId="6" borderId="2" xfId="0" applyNumberFormat="1" applyFont="1" applyFill="1" applyBorder="1" applyAlignment="1">
      <alignment horizontal="center"/>
    </xf>
    <xf numFmtId="0" fontId="7" fillId="3" borderId="9" xfId="0" applyFont="1" applyFill="1" applyBorder="1"/>
    <xf numFmtId="0" fontId="7" fillId="3" borderId="7" xfId="0" applyFont="1" applyFill="1" applyBorder="1" applyAlignment="1">
      <alignment horizontal="center"/>
    </xf>
    <xf numFmtId="0" fontId="7" fillId="2" borderId="9" xfId="0" applyFont="1" applyFill="1" applyBorder="1"/>
    <xf numFmtId="0" fontId="7" fillId="2" borderId="7" xfId="0" applyFont="1" applyFill="1" applyBorder="1" applyAlignment="1">
      <alignment horizontal="center"/>
    </xf>
    <xf numFmtId="0" fontId="7" fillId="2" borderId="2" xfId="0" applyFont="1" applyFill="1" applyBorder="1"/>
    <xf numFmtId="0" fontId="10" fillId="2" borderId="2" xfId="0" applyFont="1" applyFill="1" applyBorder="1" applyAlignment="1">
      <alignment horizontal="center"/>
    </xf>
    <xf numFmtId="4" fontId="10" fillId="2" borderId="2" xfId="0" applyNumberFormat="1" applyFont="1" applyFill="1" applyBorder="1" applyAlignment="1">
      <alignment horizontal="center"/>
    </xf>
    <xf numFmtId="0" fontId="7" fillId="5" borderId="9" xfId="0" applyFont="1" applyFill="1" applyBorder="1"/>
    <xf numFmtId="0" fontId="7" fillId="5" borderId="7" xfId="0" applyFont="1" applyFill="1" applyBorder="1" applyAlignment="1">
      <alignment horizontal="center"/>
    </xf>
    <xf numFmtId="0" fontId="7" fillId="5" borderId="2" xfId="0" applyFont="1" applyFill="1" applyBorder="1"/>
    <xf numFmtId="0" fontId="10" fillId="5" borderId="2" xfId="0" applyFont="1" applyFill="1" applyBorder="1"/>
    <xf numFmtId="0" fontId="10" fillId="5" borderId="2" xfId="0" applyFont="1" applyFill="1" applyBorder="1" applyAlignment="1">
      <alignment horizontal="center"/>
    </xf>
    <xf numFmtId="2" fontId="10" fillId="5" borderId="2" xfId="0" applyNumberFormat="1" applyFont="1" applyFill="1" applyBorder="1"/>
    <xf numFmtId="0" fontId="4" fillId="5" borderId="2" xfId="0" applyFont="1" applyFill="1" applyBorder="1"/>
    <xf numFmtId="0" fontId="7" fillId="2" borderId="2" xfId="0" applyFont="1" applyFill="1" applyBorder="1" applyAlignment="1">
      <alignment horizontal="right"/>
    </xf>
    <xf numFmtId="0" fontId="4" fillId="5" borderId="2" xfId="0" applyFont="1" applyFill="1" applyBorder="1" applyAlignment="1">
      <alignment horizontal="center"/>
    </xf>
    <xf numFmtId="4" fontId="10" fillId="6" borderId="2" xfId="0" applyNumberFormat="1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7" borderId="3" xfId="0" applyNumberFormat="1" applyFont="1" applyFill="1" applyBorder="1" applyAlignment="1">
      <alignment horizontal="center"/>
    </xf>
    <xf numFmtId="0" fontId="4" fillId="7" borderId="2" xfId="0" applyNumberFormat="1" applyFont="1" applyFill="1" applyBorder="1" applyAlignment="1">
      <alignment horizontal="center"/>
    </xf>
    <xf numFmtId="0" fontId="4" fillId="7" borderId="2" xfId="0" applyNumberFormat="1" applyFont="1" applyFill="1" applyBorder="1" applyAlignment="1">
      <alignment horizontal="center" vertical="center"/>
    </xf>
    <xf numFmtId="2" fontId="4" fillId="7" borderId="2" xfId="0" applyNumberFormat="1" applyFont="1" applyFill="1" applyBorder="1" applyAlignment="1">
      <alignment horizontal="center"/>
    </xf>
    <xf numFmtId="4" fontId="4" fillId="7" borderId="2" xfId="0" applyNumberFormat="1" applyFont="1" applyFill="1" applyBorder="1" applyAlignment="1">
      <alignment horizontal="center"/>
    </xf>
    <xf numFmtId="2" fontId="4" fillId="7" borderId="6" xfId="0" applyNumberFormat="1" applyFont="1" applyFill="1" applyBorder="1" applyAlignment="1">
      <alignment vertical="center"/>
    </xf>
    <xf numFmtId="0" fontId="0" fillId="7" borderId="0" xfId="0" applyFill="1"/>
    <xf numFmtId="0" fontId="8" fillId="2" borderId="3" xfId="0" applyFont="1" applyFill="1" applyBorder="1" applyAlignment="1">
      <alignment horizontal="center"/>
    </xf>
    <xf numFmtId="0" fontId="8" fillId="2" borderId="2" xfId="0" applyFont="1" applyFill="1" applyBorder="1" applyAlignment="1"/>
    <xf numFmtId="0" fontId="8" fillId="2" borderId="4" xfId="0" applyFont="1" applyFill="1" applyBorder="1"/>
    <xf numFmtId="4" fontId="20" fillId="2" borderId="2" xfId="0" applyNumberFormat="1" applyFont="1" applyFill="1" applyBorder="1" applyAlignment="1">
      <alignment horizontal="center"/>
    </xf>
    <xf numFmtId="4" fontId="4" fillId="6" borderId="2" xfId="0" applyNumberFormat="1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8" fillId="7" borderId="2" xfId="0" applyFont="1" applyFill="1" applyBorder="1" applyAlignment="1"/>
    <xf numFmtId="0" fontId="8" fillId="7" borderId="4" xfId="0" applyFont="1" applyFill="1" applyBorder="1"/>
    <xf numFmtId="4" fontId="20" fillId="7" borderId="2" xfId="0" applyNumberFormat="1" applyFont="1" applyFill="1" applyBorder="1" applyAlignment="1">
      <alignment horizontal="center"/>
    </xf>
    <xf numFmtId="0" fontId="0" fillId="7" borderId="2" xfId="0" applyFill="1" applyBorder="1"/>
    <xf numFmtId="4" fontId="5" fillId="7" borderId="2" xfId="0" applyNumberFormat="1" applyFont="1" applyFill="1" applyBorder="1" applyAlignment="1">
      <alignment horizontal="center"/>
    </xf>
    <xf numFmtId="2" fontId="5" fillId="6" borderId="2" xfId="0" applyNumberFormat="1" applyFont="1" applyFill="1" applyBorder="1" applyAlignment="1">
      <alignment vertical="center"/>
    </xf>
    <xf numFmtId="1" fontId="7" fillId="2" borderId="2" xfId="0" applyNumberFormat="1" applyFont="1" applyFill="1" applyBorder="1" applyAlignment="1">
      <alignment horizontal="center" vertical="center"/>
    </xf>
    <xf numFmtId="0" fontId="26" fillId="5" borderId="2" xfId="0" applyFont="1" applyFill="1" applyBorder="1" applyAlignment="1">
      <alignment horizontal="center" vertical="center"/>
    </xf>
    <xf numFmtId="0" fontId="25" fillId="5" borderId="3" xfId="0" applyFont="1" applyFill="1" applyBorder="1" applyAlignment="1">
      <alignment horizontal="center" vertical="center"/>
    </xf>
    <xf numFmtId="0" fontId="25" fillId="5" borderId="7" xfId="0" applyFont="1" applyFill="1" applyBorder="1" applyAlignment="1">
      <alignment horizontal="center" vertical="center"/>
    </xf>
    <xf numFmtId="4" fontId="8" fillId="2" borderId="2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23" fillId="5" borderId="2" xfId="0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vertical="center"/>
    </xf>
    <xf numFmtId="2" fontId="11" fillId="6" borderId="2" xfId="0" applyNumberFormat="1" applyFont="1" applyFill="1" applyBorder="1" applyAlignment="1">
      <alignment vertical="center"/>
    </xf>
    <xf numFmtId="2" fontId="5" fillId="5" borderId="2" xfId="0" applyNumberFormat="1" applyFont="1" applyFill="1" applyBorder="1" applyAlignment="1">
      <alignment vertical="center"/>
    </xf>
    <xf numFmtId="4" fontId="5" fillId="6" borderId="2" xfId="0" applyNumberFormat="1" applyFont="1" applyFill="1" applyBorder="1" applyAlignment="1"/>
    <xf numFmtId="4" fontId="4" fillId="2" borderId="2" xfId="0" applyNumberFormat="1" applyFont="1" applyFill="1" applyBorder="1" applyAlignment="1"/>
    <xf numFmtId="4" fontId="11" fillId="6" borderId="2" xfId="0" applyNumberFormat="1" applyFont="1" applyFill="1" applyBorder="1" applyAlignment="1"/>
    <xf numFmtId="4" fontId="11" fillId="2" borderId="2" xfId="0" applyNumberFormat="1" applyFont="1" applyFill="1" applyBorder="1" applyAlignment="1"/>
    <xf numFmtId="4" fontId="11" fillId="7" borderId="2" xfId="0" applyNumberFormat="1" applyFont="1" applyFill="1" applyBorder="1" applyAlignment="1"/>
    <xf numFmtId="4" fontId="11" fillId="3" borderId="2" xfId="0" applyNumberFormat="1" applyFont="1" applyFill="1" applyBorder="1" applyAlignment="1"/>
    <xf numFmtId="4" fontId="5" fillId="0" borderId="0" xfId="0" applyNumberFormat="1" applyFont="1" applyBorder="1" applyAlignment="1"/>
    <xf numFmtId="0" fontId="5" fillId="0" borderId="0" xfId="0" applyFont="1" applyBorder="1" applyAlignment="1"/>
    <xf numFmtId="0" fontId="5" fillId="0" borderId="0" xfId="0" applyFont="1" applyAlignment="1"/>
    <xf numFmtId="0" fontId="27" fillId="0" borderId="1" xfId="0" applyFont="1" applyFill="1" applyBorder="1" applyAlignment="1">
      <alignment vertical="center"/>
    </xf>
    <xf numFmtId="2" fontId="7" fillId="2" borderId="2" xfId="0" applyNumberFormat="1" applyFont="1" applyFill="1" applyBorder="1" applyAlignment="1">
      <alignment vertical="center"/>
    </xf>
    <xf numFmtId="2" fontId="7" fillId="0" borderId="2" xfId="0" applyNumberFormat="1" applyFont="1" applyBorder="1" applyAlignment="1">
      <alignment vertical="center"/>
    </xf>
    <xf numFmtId="0" fontId="25" fillId="0" borderId="0" xfId="0" applyFont="1"/>
    <xf numFmtId="0" fontId="26" fillId="0" borderId="5" xfId="0" applyFont="1" applyBorder="1" applyAlignment="1">
      <alignment horizontal="center" vertical="center"/>
    </xf>
    <xf numFmtId="2" fontId="4" fillId="2" borderId="6" xfId="0" applyNumberFormat="1" applyFont="1" applyFill="1" applyBorder="1" applyAlignment="1">
      <alignment horizontal="center" vertical="center"/>
    </xf>
    <xf numFmtId="2" fontId="7" fillId="5" borderId="6" xfId="0" applyNumberFormat="1" applyFont="1" applyFill="1" applyBorder="1" applyAlignment="1">
      <alignment horizontal="center" vertical="center"/>
    </xf>
    <xf numFmtId="0" fontId="7" fillId="0" borderId="0" xfId="0" applyFont="1"/>
    <xf numFmtId="2" fontId="7" fillId="0" borderId="0" xfId="0" applyNumberFormat="1" applyFont="1"/>
    <xf numFmtId="164" fontId="7" fillId="2" borderId="2" xfId="0" applyNumberFormat="1" applyFont="1" applyFill="1" applyBorder="1" applyAlignment="1">
      <alignment horizontal="center" vertical="center"/>
    </xf>
    <xf numFmtId="0" fontId="7" fillId="3" borderId="0" xfId="0" applyFont="1" applyFill="1"/>
    <xf numFmtId="2" fontId="7" fillId="3" borderId="0" xfId="0" applyNumberFormat="1" applyFont="1" applyFill="1"/>
    <xf numFmtId="0" fontId="11" fillId="3" borderId="2" xfId="0" applyFont="1" applyFill="1" applyBorder="1" applyAlignment="1">
      <alignment horizontal="center" vertical="center"/>
    </xf>
    <xf numFmtId="2" fontId="7" fillId="3" borderId="6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2" fontId="7" fillId="3" borderId="2" xfId="0" applyNumberFormat="1" applyFont="1" applyFill="1" applyBorder="1"/>
    <xf numFmtId="0" fontId="7" fillId="2" borderId="0" xfId="0" applyFont="1" applyFill="1"/>
    <xf numFmtId="2" fontId="7" fillId="0" borderId="7" xfId="0" applyNumberFormat="1" applyFont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vertical="center"/>
    </xf>
    <xf numFmtId="0" fontId="11" fillId="5" borderId="2" xfId="0" applyFont="1" applyFill="1" applyBorder="1" applyAlignment="1">
      <alignment horizontal="center" vertical="center"/>
    </xf>
    <xf numFmtId="2" fontId="7" fillId="5" borderId="6" xfId="0" applyNumberFormat="1" applyFont="1" applyFill="1" applyBorder="1" applyAlignment="1">
      <alignment vertical="center"/>
    </xf>
    <xf numFmtId="0" fontId="7" fillId="5" borderId="0" xfId="0" applyFont="1" applyFill="1"/>
    <xf numFmtId="2" fontId="5" fillId="2" borderId="0" xfId="0" applyNumberFormat="1" applyFont="1" applyFill="1"/>
    <xf numFmtId="0" fontId="5" fillId="2" borderId="0" xfId="0" applyFont="1" applyFill="1"/>
    <xf numFmtId="2" fontId="5" fillId="5" borderId="0" xfId="0" applyNumberFormat="1" applyFont="1" applyFill="1"/>
    <xf numFmtId="0" fontId="5" fillId="5" borderId="0" xfId="0" applyFont="1" applyFill="1"/>
    <xf numFmtId="0" fontId="4" fillId="3" borderId="2" xfId="0" applyNumberFormat="1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/>
    </xf>
    <xf numFmtId="2" fontId="4" fillId="2" borderId="7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4" fontId="11" fillId="4" borderId="2" xfId="0" applyNumberFormat="1" applyFont="1" applyFill="1" applyBorder="1" applyAlignment="1"/>
    <xf numFmtId="4" fontId="8" fillId="7" borderId="2" xfId="0" applyNumberFormat="1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vertical="center"/>
    </xf>
    <xf numFmtId="4" fontId="11" fillId="4" borderId="2" xfId="0" applyNumberFormat="1" applyFont="1" applyFill="1" applyBorder="1" applyAlignment="1">
      <alignment vertical="center"/>
    </xf>
    <xf numFmtId="4" fontId="8" fillId="4" borderId="2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4" fontId="11" fillId="2" borderId="0" xfId="0" applyNumberFormat="1" applyFont="1" applyFill="1" applyBorder="1" applyAlignment="1">
      <alignment vertical="center"/>
    </xf>
    <xf numFmtId="4" fontId="8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/>
    </xf>
    <xf numFmtId="2" fontId="7" fillId="0" borderId="0" xfId="0" applyNumberFormat="1" applyFont="1" applyBorder="1"/>
    <xf numFmtId="2" fontId="7" fillId="0" borderId="0" xfId="0" applyNumberFormat="1" applyFont="1" applyBorder="1" applyAlignment="1">
      <alignment horizontal="center"/>
    </xf>
    <xf numFmtId="0" fontId="11" fillId="0" borderId="0" xfId="0" applyFont="1" applyBorder="1" applyAlignment="1"/>
    <xf numFmtId="0" fontId="11" fillId="0" borderId="0" xfId="0" applyFont="1" applyAlignment="1"/>
    <xf numFmtId="0" fontId="4" fillId="0" borderId="2" xfId="0" applyFont="1" applyBorder="1"/>
    <xf numFmtId="0" fontId="4" fillId="5" borderId="0" xfId="0" applyFont="1" applyFill="1"/>
    <xf numFmtId="0" fontId="4" fillId="7" borderId="2" xfId="0" applyFont="1" applyFill="1" applyBorder="1"/>
    <xf numFmtId="0" fontId="4" fillId="7" borderId="0" xfId="0" applyFont="1" applyFill="1"/>
    <xf numFmtId="2" fontId="18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2" fontId="18" fillId="2" borderId="2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18" fillId="2" borderId="2" xfId="0" applyFont="1" applyFill="1" applyBorder="1"/>
    <xf numFmtId="2" fontId="18" fillId="2" borderId="2" xfId="0" applyNumberFormat="1" applyFont="1" applyFill="1" applyBorder="1"/>
    <xf numFmtId="2" fontId="18" fillId="2" borderId="7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5" borderId="8" xfId="0" applyNumberFormat="1" applyFont="1" applyFill="1" applyBorder="1" applyAlignment="1">
      <alignment horizontal="center" vertical="center" wrapText="1"/>
    </xf>
    <xf numFmtId="2" fontId="3" fillId="5" borderId="0" xfId="0" applyNumberFormat="1" applyFont="1" applyFill="1"/>
    <xf numFmtId="2" fontId="18" fillId="5" borderId="2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2" fontId="18" fillId="5" borderId="2" xfId="0" applyNumberFormat="1" applyFont="1" applyFill="1" applyBorder="1" applyAlignment="1">
      <alignment vertical="center"/>
    </xf>
    <xf numFmtId="0" fontId="15" fillId="2" borderId="2" xfId="0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8" fillId="4" borderId="10" xfId="0" applyFont="1" applyFill="1" applyBorder="1" applyAlignment="1"/>
    <xf numFmtId="0" fontId="8" fillId="4" borderId="15" xfId="0" applyFont="1" applyFill="1" applyBorder="1" applyAlignment="1"/>
    <xf numFmtId="0" fontId="8" fillId="4" borderId="16" xfId="0" applyNumberFormat="1" applyFont="1" applyFill="1" applyBorder="1" applyAlignment="1">
      <alignment horizontal="center"/>
    </xf>
    <xf numFmtId="0" fontId="8" fillId="4" borderId="2" xfId="0" applyNumberFormat="1" applyFont="1" applyFill="1" applyBorder="1" applyAlignment="1">
      <alignment horizontal="center"/>
    </xf>
    <xf numFmtId="2" fontId="8" fillId="4" borderId="4" xfId="0" applyNumberFormat="1" applyFont="1" applyFill="1" applyBorder="1" applyAlignment="1">
      <alignment horizontal="center"/>
    </xf>
    <xf numFmtId="0" fontId="7" fillId="3" borderId="6" xfId="0" applyNumberFormat="1" applyFont="1" applyFill="1" applyBorder="1" applyAlignment="1">
      <alignment horizontal="center" vertical="center" wrapText="1"/>
    </xf>
    <xf numFmtId="2" fontId="9" fillId="3" borderId="7" xfId="0" applyNumberFormat="1" applyFont="1" applyFill="1" applyBorder="1" applyAlignment="1">
      <alignment vertical="center"/>
    </xf>
    <xf numFmtId="2" fontId="9" fillId="2" borderId="7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/>
    <xf numFmtId="0" fontId="13" fillId="0" borderId="1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/>
    </xf>
    <xf numFmtId="0" fontId="36" fillId="0" borderId="5" xfId="0" applyFont="1" applyBorder="1" applyAlignment="1">
      <alignment horizontal="center" vertical="center"/>
    </xf>
    <xf numFmtId="0" fontId="22" fillId="0" borderId="0" xfId="0" applyFont="1"/>
    <xf numFmtId="0" fontId="22" fillId="0" borderId="2" xfId="0" applyFont="1" applyBorder="1" applyAlignment="1">
      <alignment horizontal="center" vertical="center"/>
    </xf>
    <xf numFmtId="49" fontId="22" fillId="0" borderId="2" xfId="0" applyNumberFormat="1" applyFont="1" applyBorder="1" applyAlignment="1">
      <alignment horizontal="center" vertical="center"/>
    </xf>
    <xf numFmtId="2" fontId="22" fillId="0" borderId="2" xfId="0" applyNumberFormat="1" applyFont="1" applyBorder="1" applyAlignment="1">
      <alignment horizontal="center" vertical="center"/>
    </xf>
    <xf numFmtId="0" fontId="22" fillId="0" borderId="2" xfId="0" applyNumberFormat="1" applyFont="1" applyBorder="1" applyAlignment="1">
      <alignment horizontal="center" vertical="center"/>
    </xf>
    <xf numFmtId="0" fontId="37" fillId="0" borderId="0" xfId="0" applyFont="1"/>
    <xf numFmtId="0" fontId="22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22" fillId="3" borderId="2" xfId="0" applyNumberFormat="1" applyFont="1" applyFill="1" applyBorder="1" applyAlignment="1">
      <alignment horizontal="center" vertical="center"/>
    </xf>
    <xf numFmtId="2" fontId="22" fillId="3" borderId="2" xfId="0" applyNumberFormat="1" applyFont="1" applyFill="1" applyBorder="1" applyAlignment="1">
      <alignment horizontal="center" vertical="center"/>
    </xf>
    <xf numFmtId="2" fontId="14" fillId="3" borderId="2" xfId="0" applyNumberFormat="1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2" xfId="0" applyNumberFormat="1" applyFont="1" applyFill="1" applyBorder="1" applyAlignment="1">
      <alignment horizontal="center" vertical="center"/>
    </xf>
    <xf numFmtId="2" fontId="22" fillId="2" borderId="2" xfId="0" applyNumberFormat="1" applyFont="1" applyFill="1" applyBorder="1" applyAlignment="1">
      <alignment horizontal="center" vertical="center"/>
    </xf>
    <xf numFmtId="2" fontId="38" fillId="2" borderId="2" xfId="0" applyNumberFormat="1" applyFont="1" applyFill="1" applyBorder="1" applyAlignment="1">
      <alignment horizontal="center" vertical="center"/>
    </xf>
    <xf numFmtId="2" fontId="22" fillId="2" borderId="6" xfId="0" applyNumberFormat="1" applyFont="1" applyFill="1" applyBorder="1" applyAlignment="1">
      <alignment horizontal="center" vertical="center"/>
    </xf>
    <xf numFmtId="0" fontId="22" fillId="5" borderId="2" xfId="0" applyFont="1" applyFill="1" applyBorder="1" applyAlignment="1">
      <alignment horizontal="center" vertical="center"/>
    </xf>
    <xf numFmtId="0" fontId="22" fillId="5" borderId="2" xfId="0" applyNumberFormat="1" applyFont="1" applyFill="1" applyBorder="1" applyAlignment="1">
      <alignment horizontal="center" vertical="center"/>
    </xf>
    <xf numFmtId="2" fontId="22" fillId="5" borderId="2" xfId="0" applyNumberFormat="1" applyFont="1" applyFill="1" applyBorder="1" applyAlignment="1">
      <alignment horizontal="center" vertical="center"/>
    </xf>
    <xf numFmtId="2" fontId="14" fillId="5" borderId="2" xfId="0" applyNumberFormat="1" applyFont="1" applyFill="1" applyBorder="1" applyAlignment="1">
      <alignment horizontal="center" vertical="center"/>
    </xf>
    <xf numFmtId="2" fontId="22" fillId="5" borderId="6" xfId="0" applyNumberFormat="1" applyFont="1" applyFill="1" applyBorder="1" applyAlignment="1">
      <alignment horizontal="center" vertical="center"/>
    </xf>
    <xf numFmtId="2" fontId="14" fillId="2" borderId="2" xfId="0" applyNumberFormat="1" applyFont="1" applyFill="1" applyBorder="1" applyAlignment="1">
      <alignment horizontal="center" vertical="center"/>
    </xf>
    <xf numFmtId="0" fontId="22" fillId="3" borderId="0" xfId="0" applyFont="1" applyFill="1"/>
    <xf numFmtId="2" fontId="22" fillId="3" borderId="6" xfId="0" applyNumberFormat="1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1" fontId="22" fillId="0" borderId="2" xfId="0" applyNumberFormat="1" applyFont="1" applyBorder="1" applyAlignment="1">
      <alignment horizontal="center" vertical="center"/>
    </xf>
    <xf numFmtId="2" fontId="22" fillId="0" borderId="2" xfId="0" applyNumberFormat="1" applyFont="1" applyBorder="1" applyAlignment="1">
      <alignment vertical="center"/>
    </xf>
    <xf numFmtId="49" fontId="22" fillId="3" borderId="2" xfId="0" applyNumberFormat="1" applyFont="1" applyFill="1" applyBorder="1" applyAlignment="1">
      <alignment horizontal="center" vertical="center"/>
    </xf>
    <xf numFmtId="49" fontId="22" fillId="0" borderId="2" xfId="0" applyNumberFormat="1" applyFont="1" applyFill="1" applyBorder="1" applyAlignment="1">
      <alignment horizontal="center" vertical="center"/>
    </xf>
    <xf numFmtId="2" fontId="22" fillId="0" borderId="2" xfId="0" applyNumberFormat="1" applyFont="1" applyFill="1" applyBorder="1" applyAlignment="1">
      <alignment horizontal="center" vertical="center"/>
    </xf>
    <xf numFmtId="49" fontId="22" fillId="2" borderId="2" xfId="0" applyNumberFormat="1" applyFont="1" applyFill="1" applyBorder="1" applyAlignment="1">
      <alignment horizontal="center" vertical="center"/>
    </xf>
    <xf numFmtId="2" fontId="22" fillId="0" borderId="6" xfId="0" applyNumberFormat="1" applyFont="1" applyBorder="1" applyAlignment="1">
      <alignment horizontal="center" vertical="center"/>
    </xf>
    <xf numFmtId="1" fontId="22" fillId="3" borderId="2" xfId="0" applyNumberFormat="1" applyFont="1" applyFill="1" applyBorder="1" applyAlignment="1">
      <alignment horizontal="center" vertical="center"/>
    </xf>
    <xf numFmtId="2" fontId="22" fillId="3" borderId="2" xfId="0" applyNumberFormat="1" applyFont="1" applyFill="1" applyBorder="1"/>
    <xf numFmtId="1" fontId="22" fillId="2" borderId="2" xfId="0" applyNumberFormat="1" applyFont="1" applyFill="1" applyBorder="1" applyAlignment="1">
      <alignment horizontal="center" vertical="center"/>
    </xf>
    <xf numFmtId="0" fontId="22" fillId="2" borderId="0" xfId="0" applyFont="1" applyFill="1"/>
    <xf numFmtId="2" fontId="22" fillId="0" borderId="7" xfId="0" applyNumberFormat="1" applyFont="1" applyBorder="1" applyAlignment="1">
      <alignment horizontal="center" vertical="center"/>
    </xf>
    <xf numFmtId="2" fontId="22" fillId="3" borderId="2" xfId="0" applyNumberFormat="1" applyFont="1" applyFill="1" applyBorder="1" applyAlignment="1">
      <alignment vertical="center"/>
    </xf>
    <xf numFmtId="1" fontId="22" fillId="0" borderId="2" xfId="0" applyNumberFormat="1" applyFont="1" applyFill="1" applyBorder="1" applyAlignment="1">
      <alignment horizontal="center" vertical="center"/>
    </xf>
    <xf numFmtId="2" fontId="22" fillId="2" borderId="6" xfId="0" applyNumberFormat="1" applyFont="1" applyFill="1" applyBorder="1" applyAlignment="1">
      <alignment vertical="center"/>
    </xf>
    <xf numFmtId="0" fontId="14" fillId="5" borderId="2" xfId="0" applyFont="1" applyFill="1" applyBorder="1" applyAlignment="1">
      <alignment horizontal="center" vertical="center"/>
    </xf>
    <xf numFmtId="1" fontId="22" fillId="5" borderId="2" xfId="0" applyNumberFormat="1" applyFont="1" applyFill="1" applyBorder="1" applyAlignment="1">
      <alignment horizontal="center" vertical="center"/>
    </xf>
    <xf numFmtId="2" fontId="22" fillId="5" borderId="6" xfId="0" applyNumberFormat="1" applyFont="1" applyFill="1" applyBorder="1" applyAlignment="1">
      <alignment vertical="center"/>
    </xf>
    <xf numFmtId="2" fontId="22" fillId="0" borderId="6" xfId="0" applyNumberFormat="1" applyFont="1" applyBorder="1" applyAlignment="1">
      <alignment vertical="center"/>
    </xf>
    <xf numFmtId="0" fontId="14" fillId="3" borderId="2" xfId="0" applyFont="1" applyFill="1" applyBorder="1" applyAlignment="1">
      <alignment horizontal="center" vertical="center" wrapText="1"/>
    </xf>
    <xf numFmtId="2" fontId="14" fillId="4" borderId="2" xfId="0" applyNumberFormat="1" applyFont="1" applyFill="1" applyBorder="1" applyAlignment="1">
      <alignment vertical="center"/>
    </xf>
    <xf numFmtId="2" fontId="14" fillId="2" borderId="0" xfId="0" applyNumberFormat="1" applyFont="1" applyFill="1"/>
    <xf numFmtId="0" fontId="14" fillId="2" borderId="0" xfId="0" applyFont="1" applyFill="1"/>
    <xf numFmtId="0" fontId="36" fillId="2" borderId="2" xfId="0" applyFont="1" applyFill="1" applyBorder="1" applyAlignment="1">
      <alignment horizontal="center" vertical="center"/>
    </xf>
    <xf numFmtId="0" fontId="37" fillId="2" borderId="2" xfId="0" applyFont="1" applyFill="1" applyBorder="1" applyAlignment="1">
      <alignment horizontal="center" vertical="center"/>
    </xf>
    <xf numFmtId="0" fontId="37" fillId="2" borderId="3" xfId="0" applyFont="1" applyFill="1" applyBorder="1" applyAlignment="1">
      <alignment horizontal="center" vertical="center"/>
    </xf>
    <xf numFmtId="2" fontId="14" fillId="2" borderId="6" xfId="0" applyNumberFormat="1" applyFont="1" applyFill="1" applyBorder="1" applyAlignment="1">
      <alignment vertical="center"/>
    </xf>
    <xf numFmtId="0" fontId="13" fillId="3" borderId="2" xfId="0" applyFont="1" applyFill="1" applyBorder="1" applyAlignment="1">
      <alignment horizontal="center" vertical="center"/>
    </xf>
    <xf numFmtId="0" fontId="14" fillId="3" borderId="13" xfId="0" applyFont="1" applyFill="1" applyBorder="1"/>
    <xf numFmtId="0" fontId="13" fillId="3" borderId="3" xfId="0" applyFont="1" applyFill="1" applyBorder="1" applyAlignment="1">
      <alignment horizontal="center" vertical="center"/>
    </xf>
    <xf numFmtId="2" fontId="14" fillId="3" borderId="6" xfId="0" applyNumberFormat="1" applyFont="1" applyFill="1" applyBorder="1" applyAlignment="1">
      <alignment vertical="center"/>
    </xf>
    <xf numFmtId="0" fontId="13" fillId="2" borderId="2" xfId="0" applyFont="1" applyFill="1" applyBorder="1" applyAlignment="1">
      <alignment horizontal="center" vertical="center"/>
    </xf>
    <xf numFmtId="0" fontId="22" fillId="2" borderId="2" xfId="0" applyFont="1" applyFill="1" applyBorder="1"/>
    <xf numFmtId="0" fontId="13" fillId="5" borderId="2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37" fillId="5" borderId="2" xfId="0" applyFont="1" applyFill="1" applyBorder="1" applyAlignment="1">
      <alignment horizontal="center" vertical="center"/>
    </xf>
    <xf numFmtId="2" fontId="14" fillId="5" borderId="6" xfId="0" applyNumberFormat="1" applyFont="1" applyFill="1" applyBorder="1" applyAlignment="1">
      <alignment vertical="center"/>
    </xf>
    <xf numFmtId="0" fontId="22" fillId="0" borderId="2" xfId="0" applyFont="1" applyBorder="1" applyAlignment="1">
      <alignment horizontal="center"/>
    </xf>
    <xf numFmtId="0" fontId="22" fillId="2" borderId="3" xfId="0" applyNumberFormat="1" applyFont="1" applyFill="1" applyBorder="1" applyAlignment="1">
      <alignment horizontal="center"/>
    </xf>
    <xf numFmtId="0" fontId="22" fillId="2" borderId="2" xfId="0" applyNumberFormat="1" applyFont="1" applyFill="1" applyBorder="1" applyAlignment="1">
      <alignment horizontal="center" vertical="center" wrapText="1"/>
    </xf>
    <xf numFmtId="0" fontId="22" fillId="2" borderId="2" xfId="0" applyNumberFormat="1" applyFont="1" applyFill="1" applyBorder="1" applyAlignment="1">
      <alignment horizontal="center"/>
    </xf>
    <xf numFmtId="2" fontId="22" fillId="2" borderId="2" xfId="0" applyNumberFormat="1" applyFont="1" applyFill="1" applyBorder="1" applyAlignment="1">
      <alignment horizontal="center"/>
    </xf>
    <xf numFmtId="4" fontId="22" fillId="2" borderId="2" xfId="0" applyNumberFormat="1" applyFont="1" applyFill="1" applyBorder="1" applyAlignment="1">
      <alignment horizontal="center"/>
    </xf>
    <xf numFmtId="0" fontId="39" fillId="0" borderId="0" xfId="0" applyFont="1"/>
    <xf numFmtId="0" fontId="22" fillId="3" borderId="2" xfId="0" applyFont="1" applyFill="1" applyBorder="1" applyAlignment="1">
      <alignment horizontal="center"/>
    </xf>
    <xf numFmtId="0" fontId="22" fillId="3" borderId="2" xfId="0" applyNumberFormat="1" applyFont="1" applyFill="1" applyBorder="1" applyAlignment="1">
      <alignment horizontal="center"/>
    </xf>
    <xf numFmtId="0" fontId="22" fillId="3" borderId="2" xfId="0" applyNumberFormat="1" applyFont="1" applyFill="1" applyBorder="1" applyAlignment="1">
      <alignment horizontal="center" vertical="center" wrapText="1"/>
    </xf>
    <xf numFmtId="2" fontId="22" fillId="3" borderId="2" xfId="0" applyNumberFormat="1" applyFont="1" applyFill="1" applyBorder="1" applyAlignment="1">
      <alignment horizontal="center"/>
    </xf>
    <xf numFmtId="4" fontId="14" fillId="3" borderId="2" xfId="0" applyNumberFormat="1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4" fontId="15" fillId="3" borderId="2" xfId="0" applyNumberFormat="1" applyFont="1" applyFill="1" applyBorder="1" applyAlignment="1">
      <alignment horizontal="center"/>
    </xf>
    <xf numFmtId="0" fontId="22" fillId="0" borderId="9" xfId="0" applyNumberFormat="1" applyFont="1" applyBorder="1" applyAlignment="1">
      <alignment horizontal="center" vertical="center"/>
    </xf>
    <xf numFmtId="0" fontId="22" fillId="0" borderId="7" xfId="0" applyNumberFormat="1" applyFont="1" applyBorder="1" applyAlignment="1">
      <alignment horizontal="center"/>
    </xf>
    <xf numFmtId="4" fontId="22" fillId="0" borderId="0" xfId="0" applyNumberFormat="1" applyFont="1" applyAlignment="1">
      <alignment horizontal="center"/>
    </xf>
    <xf numFmtId="0" fontId="22" fillId="0" borderId="2" xfId="0" applyNumberFormat="1" applyFont="1" applyFill="1" applyBorder="1" applyAlignment="1">
      <alignment horizontal="center" vertical="center"/>
    </xf>
    <xf numFmtId="4" fontId="22" fillId="0" borderId="2" xfId="0" applyNumberFormat="1" applyFont="1" applyFill="1" applyBorder="1" applyAlignment="1">
      <alignment horizontal="center" vertical="center"/>
    </xf>
    <xf numFmtId="0" fontId="22" fillId="3" borderId="3" xfId="0" applyNumberFormat="1" applyFont="1" applyFill="1" applyBorder="1" applyAlignment="1">
      <alignment horizontal="center"/>
    </xf>
    <xf numFmtId="0" fontId="14" fillId="3" borderId="2" xfId="0" applyNumberFormat="1" applyFont="1" applyFill="1" applyBorder="1" applyAlignment="1">
      <alignment horizontal="center" vertical="center"/>
    </xf>
    <xf numFmtId="0" fontId="14" fillId="3" borderId="2" xfId="0" applyNumberFormat="1" applyFont="1" applyFill="1" applyBorder="1" applyAlignment="1">
      <alignment horizontal="center"/>
    </xf>
    <xf numFmtId="2" fontId="14" fillId="3" borderId="2" xfId="0" applyNumberFormat="1" applyFont="1" applyFill="1" applyBorder="1" applyAlignment="1">
      <alignment horizontal="center"/>
    </xf>
    <xf numFmtId="0" fontId="22" fillId="2" borderId="2" xfId="0" applyFont="1" applyFill="1" applyBorder="1" applyAlignment="1">
      <alignment horizontal="center"/>
    </xf>
    <xf numFmtId="2" fontId="22" fillId="3" borderId="6" xfId="0" applyNumberFormat="1" applyFont="1" applyFill="1" applyBorder="1" applyAlignment="1">
      <alignment vertical="center"/>
    </xf>
    <xf numFmtId="0" fontId="15" fillId="3" borderId="2" xfId="0" applyNumberFormat="1" applyFont="1" applyFill="1" applyBorder="1" applyAlignment="1">
      <alignment horizontal="center"/>
    </xf>
    <xf numFmtId="0" fontId="22" fillId="4" borderId="2" xfId="0" applyFont="1" applyFill="1" applyBorder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15" fillId="4" borderId="11" xfId="0" applyFont="1" applyFill="1" applyBorder="1" applyAlignment="1">
      <alignment horizontal="center"/>
    </xf>
    <xf numFmtId="0" fontId="15" fillId="4" borderId="3" xfId="0" applyFont="1" applyFill="1" applyBorder="1" applyAlignment="1">
      <alignment horizontal="center"/>
    </xf>
    <xf numFmtId="0" fontId="15" fillId="4" borderId="2" xfId="0" applyFont="1" applyFill="1" applyBorder="1" applyAlignment="1"/>
    <xf numFmtId="0" fontId="15" fillId="4" borderId="2" xfId="0" applyFont="1" applyFill="1" applyBorder="1" applyAlignment="1">
      <alignment horizontal="center"/>
    </xf>
    <xf numFmtId="0" fontId="15" fillId="4" borderId="4" xfId="0" applyFont="1" applyFill="1" applyBorder="1"/>
    <xf numFmtId="4" fontId="15" fillId="4" borderId="2" xfId="0" applyNumberFormat="1" applyFont="1" applyFill="1" applyBorder="1" applyAlignment="1">
      <alignment horizontal="center"/>
    </xf>
    <xf numFmtId="0" fontId="22" fillId="2" borderId="2" xfId="0" applyFont="1" applyFill="1" applyBorder="1" applyAlignment="1"/>
    <xf numFmtId="2" fontId="22" fillId="2" borderId="4" xfId="0" applyNumberFormat="1" applyFont="1" applyFill="1" applyBorder="1" applyAlignment="1">
      <alignment horizontal="center"/>
    </xf>
    <xf numFmtId="0" fontId="39" fillId="2" borderId="0" xfId="0" applyFont="1" applyFill="1"/>
    <xf numFmtId="0" fontId="15" fillId="3" borderId="2" xfId="0" applyFont="1" applyFill="1" applyBorder="1" applyAlignment="1"/>
    <xf numFmtId="2" fontId="15" fillId="3" borderId="2" xfId="0" applyNumberFormat="1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Border="1"/>
    <xf numFmtId="0" fontId="22" fillId="2" borderId="0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4" fontId="22" fillId="0" borderId="0" xfId="0" applyNumberFormat="1" applyFont="1" applyBorder="1"/>
    <xf numFmtId="2" fontId="22" fillId="0" borderId="0" xfId="0" applyNumberFormat="1" applyFont="1" applyBorder="1"/>
    <xf numFmtId="0" fontId="38" fillId="0" borderId="0" xfId="0" applyFont="1" applyBorder="1" applyAlignment="1">
      <alignment horizontal="center"/>
    </xf>
    <xf numFmtId="2" fontId="22" fillId="0" borderId="0" xfId="0" applyNumberFormat="1" applyFont="1" applyBorder="1" applyAlignment="1">
      <alignment horizontal="center"/>
    </xf>
    <xf numFmtId="2" fontId="22" fillId="0" borderId="0" xfId="0" applyNumberFormat="1" applyFont="1"/>
    <xf numFmtId="0" fontId="22" fillId="0" borderId="2" xfId="0" applyFont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/>
    </xf>
    <xf numFmtId="0" fontId="22" fillId="2" borderId="2" xfId="0" applyFont="1" applyFill="1" applyBorder="1" applyAlignment="1">
      <alignment horizontal="left" vertical="center"/>
    </xf>
    <xf numFmtId="0" fontId="14" fillId="5" borderId="2" xfId="0" applyFont="1" applyFill="1" applyBorder="1" applyAlignment="1">
      <alignment horizontal="left" vertical="center"/>
    </xf>
    <xf numFmtId="0" fontId="22" fillId="0" borderId="2" xfId="0" applyFont="1" applyBorder="1" applyAlignment="1">
      <alignment horizontal="left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4" fontId="14" fillId="4" borderId="2" xfId="0" applyNumberFormat="1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center" vertical="center" wrapText="1"/>
    </xf>
    <xf numFmtId="0" fontId="22" fillId="2" borderId="0" xfId="0" applyFont="1" applyFill="1" applyAlignment="1"/>
    <xf numFmtId="4" fontId="39" fillId="0" borderId="0" xfId="0" applyNumberFormat="1" applyFont="1"/>
    <xf numFmtId="4" fontId="22" fillId="0" borderId="0" xfId="0" applyNumberFormat="1" applyFont="1" applyBorder="1" applyAlignment="1">
      <alignment horizontal="center"/>
    </xf>
    <xf numFmtId="0" fontId="25" fillId="2" borderId="3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/>
    </xf>
    <xf numFmtId="0" fontId="30" fillId="2" borderId="9" xfId="0" applyFont="1" applyFill="1" applyBorder="1" applyAlignment="1">
      <alignment horizontal="center" vertical="center"/>
    </xf>
    <xf numFmtId="0" fontId="30" fillId="2" borderId="7" xfId="0" applyFont="1" applyFill="1" applyBorder="1" applyAlignment="1">
      <alignment horizontal="center" vertical="center"/>
    </xf>
    <xf numFmtId="0" fontId="31" fillId="4" borderId="10" xfId="0" applyFont="1" applyFill="1" applyBorder="1" applyAlignment="1">
      <alignment horizontal="center"/>
    </xf>
    <xf numFmtId="0" fontId="31" fillId="4" borderId="15" xfId="0" applyFont="1" applyFill="1" applyBorder="1" applyAlignment="1">
      <alignment horizontal="center"/>
    </xf>
    <xf numFmtId="0" fontId="30" fillId="4" borderId="11" xfId="0" applyFont="1" applyFill="1" applyBorder="1" applyAlignment="1">
      <alignment vertical="center"/>
    </xf>
    <xf numFmtId="0" fontId="30" fillId="4" borderId="3" xfId="0" applyFont="1" applyFill="1" applyBorder="1" applyAlignment="1">
      <alignment vertical="center"/>
    </xf>
    <xf numFmtId="4" fontId="30" fillId="4" borderId="2" xfId="0" applyNumberFormat="1" applyFont="1" applyFill="1" applyBorder="1" applyAlignment="1">
      <alignment vertical="center"/>
    </xf>
    <xf numFmtId="0" fontId="30" fillId="4" borderId="2" xfId="0" applyFont="1" applyFill="1" applyBorder="1" applyAlignment="1">
      <alignment vertical="center"/>
    </xf>
    <xf numFmtId="0" fontId="29" fillId="2" borderId="2" xfId="0" applyFont="1" applyFill="1" applyBorder="1" applyAlignment="1">
      <alignment horizontal="center" vertical="center"/>
    </xf>
    <xf numFmtId="2" fontId="32" fillId="5" borderId="0" xfId="0" applyNumberFormat="1" applyFont="1" applyFill="1"/>
    <xf numFmtId="0" fontId="32" fillId="5" borderId="0" xfId="0" applyFont="1" applyFill="1"/>
    <xf numFmtId="0" fontId="31" fillId="2" borderId="2" xfId="0" applyFont="1" applyFill="1" applyBorder="1" applyAlignment="1">
      <alignment horizontal="center"/>
    </xf>
    <xf numFmtId="4" fontId="30" fillId="2" borderId="16" xfId="0" applyNumberFormat="1" applyFont="1" applyFill="1" applyBorder="1" applyAlignment="1">
      <alignment vertical="center"/>
    </xf>
    <xf numFmtId="0" fontId="30" fillId="2" borderId="2" xfId="0" applyFont="1" applyFill="1" applyBorder="1" applyAlignment="1">
      <alignment vertical="center"/>
    </xf>
    <xf numFmtId="4" fontId="30" fillId="2" borderId="2" xfId="0" applyNumberFormat="1" applyFont="1" applyFill="1" applyBorder="1" applyAlignment="1">
      <alignment vertical="center"/>
    </xf>
    <xf numFmtId="0" fontId="30" fillId="2" borderId="0" xfId="0" applyFont="1" applyFill="1" applyBorder="1" applyAlignment="1">
      <alignment vertical="center"/>
    </xf>
    <xf numFmtId="0" fontId="30" fillId="5" borderId="2" xfId="0" applyFont="1" applyFill="1" applyBorder="1" applyAlignment="1">
      <alignment vertical="center"/>
    </xf>
    <xf numFmtId="0" fontId="30" fillId="5" borderId="0" xfId="0" applyFont="1" applyFill="1" applyBorder="1" applyAlignment="1">
      <alignment vertical="center"/>
    </xf>
    <xf numFmtId="0" fontId="28" fillId="2" borderId="2" xfId="0" applyFont="1" applyFill="1" applyBorder="1" applyAlignment="1">
      <alignment horizontal="center" vertical="center" wrapText="1"/>
    </xf>
    <xf numFmtId="2" fontId="30" fillId="4" borderId="2" xfId="0" applyNumberFormat="1" applyFont="1" applyFill="1" applyBorder="1" applyAlignment="1">
      <alignment vertical="center"/>
    </xf>
    <xf numFmtId="0" fontId="28" fillId="5" borderId="3" xfId="0" applyFont="1" applyFill="1" applyBorder="1" applyAlignment="1">
      <alignment horizontal="center"/>
    </xf>
    <xf numFmtId="0" fontId="28" fillId="5" borderId="4" xfId="0" applyFont="1" applyFill="1" applyBorder="1" applyAlignment="1">
      <alignment horizontal="center"/>
    </xf>
    <xf numFmtId="0" fontId="28" fillId="8" borderId="2" xfId="0" applyFont="1" applyFill="1" applyBorder="1" applyAlignment="1">
      <alignment horizontal="center"/>
    </xf>
    <xf numFmtId="0" fontId="28" fillId="8" borderId="4" xfId="0" applyFont="1" applyFill="1" applyBorder="1" applyAlignment="1">
      <alignment horizontal="center"/>
    </xf>
    <xf numFmtId="4" fontId="32" fillId="8" borderId="2" xfId="0" applyNumberFormat="1" applyFont="1" applyFill="1" applyBorder="1" applyAlignment="1">
      <alignment horizontal="center"/>
    </xf>
    <xf numFmtId="0" fontId="34" fillId="8" borderId="0" xfId="0" applyFont="1" applyFill="1"/>
    <xf numFmtId="0" fontId="40" fillId="8" borderId="3" xfId="0" applyFont="1" applyFill="1" applyBorder="1" applyAlignment="1">
      <alignment horizontal="center"/>
    </xf>
    <xf numFmtId="4" fontId="32" fillId="5" borderId="2" xfId="0" applyNumberFormat="1" applyFont="1" applyFill="1" applyBorder="1" applyAlignment="1">
      <alignment horizontal="center" vertical="center"/>
    </xf>
    <xf numFmtId="4" fontId="32" fillId="2" borderId="2" xfId="0" applyNumberFormat="1" applyFont="1" applyFill="1" applyBorder="1" applyAlignment="1">
      <alignment horizontal="center" vertical="center"/>
    </xf>
    <xf numFmtId="4" fontId="32" fillId="3" borderId="2" xfId="0" applyNumberFormat="1" applyFont="1" applyFill="1" applyBorder="1" applyAlignment="1">
      <alignment horizontal="center" vertical="center"/>
    </xf>
    <xf numFmtId="4" fontId="32" fillId="4" borderId="2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center" vertical="center" wrapText="1"/>
    </xf>
    <xf numFmtId="0" fontId="7" fillId="2" borderId="7" xfId="0" applyNumberFormat="1" applyFont="1" applyFill="1" applyBorder="1" applyAlignment="1">
      <alignment horizontal="center" vertical="center" wrapText="1"/>
    </xf>
    <xf numFmtId="0" fontId="22" fillId="2" borderId="6" xfId="0" applyNumberFormat="1" applyFont="1" applyFill="1" applyBorder="1" applyAlignment="1">
      <alignment horizontal="center" vertical="center" wrapText="1"/>
    </xf>
    <xf numFmtId="0" fontId="22" fillId="2" borderId="8" xfId="0" applyNumberFormat="1" applyFont="1" applyFill="1" applyBorder="1" applyAlignment="1">
      <alignment horizontal="center" vertical="center" wrapText="1"/>
    </xf>
    <xf numFmtId="0" fontId="12" fillId="0" borderId="8" xfId="0" applyFont="1" applyBorder="1"/>
    <xf numFmtId="0" fontId="4" fillId="0" borderId="6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/>
    </xf>
    <xf numFmtId="0" fontId="15" fillId="4" borderId="18" xfId="0" applyFont="1" applyFill="1" applyBorder="1" applyAlignment="1">
      <alignment horizontal="center" vertical="center"/>
    </xf>
    <xf numFmtId="0" fontId="15" fillId="4" borderId="19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2" fillId="4" borderId="2" xfId="0" applyFont="1" applyFill="1" applyBorder="1" applyAlignment="1">
      <alignment horizontal="center" vertical="center"/>
    </xf>
    <xf numFmtId="0" fontId="7" fillId="2" borderId="6" xfId="0" applyNumberFormat="1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29" fillId="0" borderId="20" xfId="0" applyFont="1" applyBorder="1" applyAlignment="1">
      <alignment horizontal="center" vertical="center"/>
    </xf>
    <xf numFmtId="0" fontId="30" fillId="4" borderId="2" xfId="0" applyFont="1" applyFill="1" applyBorder="1" applyAlignment="1">
      <alignment horizontal="center" vertical="center"/>
    </xf>
    <xf numFmtId="0" fontId="31" fillId="4" borderId="17" xfId="0" applyFont="1" applyFill="1" applyBorder="1" applyAlignment="1">
      <alignment horizontal="center" vertical="center"/>
    </xf>
    <xf numFmtId="0" fontId="31" fillId="4" borderId="18" xfId="0" applyFont="1" applyFill="1" applyBorder="1" applyAlignment="1">
      <alignment horizontal="center" vertical="center"/>
    </xf>
    <xf numFmtId="0" fontId="31" fillId="4" borderId="19" xfId="0" applyFont="1" applyFill="1" applyBorder="1" applyAlignment="1">
      <alignment horizontal="center" vertical="center"/>
    </xf>
    <xf numFmtId="0" fontId="30" fillId="4" borderId="4" xfId="0" applyFont="1" applyFill="1" applyBorder="1" applyAlignment="1">
      <alignment horizontal="center" vertical="center"/>
    </xf>
    <xf numFmtId="0" fontId="30" fillId="4" borderId="11" xfId="0" applyFont="1" applyFill="1" applyBorder="1" applyAlignment="1">
      <alignment horizontal="center" vertical="center"/>
    </xf>
    <xf numFmtId="0" fontId="30" fillId="4" borderId="3" xfId="0" applyFont="1" applyFill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P136"/>
  <sheetViews>
    <sheetView zoomScale="75" workbookViewId="0">
      <selection sqref="A1:K1"/>
    </sheetView>
  </sheetViews>
  <sheetFormatPr defaultRowHeight="15.75"/>
  <cols>
    <col min="1" max="1" width="6.7109375" style="5" customWidth="1"/>
    <col min="2" max="2" width="12" style="5" customWidth="1"/>
    <col min="3" max="3" width="14.42578125" style="5" customWidth="1"/>
    <col min="4" max="4" width="19.140625" style="5" customWidth="1"/>
    <col min="5" max="5" width="8.140625" style="5" customWidth="1"/>
    <col min="6" max="6" width="10.5703125" style="5" customWidth="1"/>
    <col min="7" max="7" width="60.85546875" style="145" customWidth="1"/>
    <col min="8" max="8" width="13.140625" style="5" customWidth="1"/>
    <col min="9" max="9" width="12.7109375" style="145" customWidth="1"/>
    <col min="10" max="10" width="14.140625" style="29" customWidth="1"/>
    <col min="11" max="11" width="21.140625" style="5" customWidth="1"/>
    <col min="12" max="12" width="11.42578125" style="121" customWidth="1"/>
    <col min="13" max="13" width="10.7109375" style="5" bestFit="1" customWidth="1"/>
    <col min="14" max="16384" width="9.140625" style="5"/>
  </cols>
  <sheetData>
    <row r="1" spans="1:14" ht="29.25" customHeight="1" thickBot="1">
      <c r="A1" s="692" t="s">
        <v>27</v>
      </c>
      <c r="B1" s="692"/>
      <c r="C1" s="692"/>
      <c r="D1" s="692"/>
      <c r="E1" s="692"/>
      <c r="F1" s="692"/>
      <c r="G1" s="692"/>
      <c r="H1" s="692"/>
      <c r="I1" s="692"/>
      <c r="J1" s="692"/>
      <c r="K1" s="692"/>
      <c r="L1" s="103"/>
    </row>
    <row r="2" spans="1:14" ht="40.5" customHeight="1" thickBot="1">
      <c r="A2" s="185" t="s">
        <v>0</v>
      </c>
      <c r="B2" s="501" t="s">
        <v>365</v>
      </c>
      <c r="C2" s="2" t="s">
        <v>1</v>
      </c>
      <c r="D2" s="2" t="s">
        <v>96</v>
      </c>
      <c r="E2" s="2" t="s">
        <v>2</v>
      </c>
      <c r="F2" s="2" t="s">
        <v>95</v>
      </c>
      <c r="G2" s="2" t="s">
        <v>3</v>
      </c>
      <c r="H2" s="3" t="s">
        <v>97</v>
      </c>
      <c r="I2" s="2" t="s">
        <v>4</v>
      </c>
      <c r="J2" s="4" t="s">
        <v>98</v>
      </c>
      <c r="K2" s="2" t="s">
        <v>99</v>
      </c>
      <c r="L2" s="94"/>
    </row>
    <row r="3" spans="1:14" s="28" customFormat="1" ht="21" customHeight="1">
      <c r="A3" s="31">
        <v>1</v>
      </c>
      <c r="B3" s="31" t="s">
        <v>366</v>
      </c>
      <c r="C3" s="40" t="s">
        <v>35</v>
      </c>
      <c r="D3" s="694" t="s">
        <v>47</v>
      </c>
      <c r="E3" s="45">
        <v>2210</v>
      </c>
      <c r="F3" s="41">
        <v>1113</v>
      </c>
      <c r="G3" s="41" t="s">
        <v>60</v>
      </c>
      <c r="H3" s="41" t="s">
        <v>11</v>
      </c>
      <c r="I3" s="41">
        <v>12</v>
      </c>
      <c r="J3" s="42"/>
      <c r="K3" s="43">
        <v>7968.12</v>
      </c>
      <c r="L3" s="493"/>
    </row>
    <row r="4" spans="1:14" s="28" customFormat="1" ht="21" customHeight="1">
      <c r="A4" s="31"/>
      <c r="B4" s="31"/>
      <c r="C4" s="40"/>
      <c r="D4" s="695"/>
      <c r="E4" s="45">
        <v>2240</v>
      </c>
      <c r="F4" s="41" t="s">
        <v>62</v>
      </c>
      <c r="G4" s="41" t="s">
        <v>61</v>
      </c>
      <c r="H4" s="41" t="s">
        <v>11</v>
      </c>
      <c r="I4" s="165">
        <v>11</v>
      </c>
      <c r="J4" s="166"/>
      <c r="K4" s="167">
        <v>38500</v>
      </c>
      <c r="L4" s="493"/>
    </row>
    <row r="5" spans="1:14" s="28" customFormat="1" ht="21" customHeight="1">
      <c r="A5" s="31"/>
      <c r="B5" s="31"/>
      <c r="C5" s="40"/>
      <c r="D5" s="696"/>
      <c r="E5" s="45">
        <v>3110</v>
      </c>
      <c r="F5" s="41">
        <v>1014</v>
      </c>
      <c r="G5" s="41" t="s">
        <v>36</v>
      </c>
      <c r="H5" s="41" t="s">
        <v>11</v>
      </c>
      <c r="I5" s="41">
        <v>2</v>
      </c>
      <c r="J5" s="42"/>
      <c r="K5" s="43">
        <v>49278.35</v>
      </c>
      <c r="L5" s="493"/>
    </row>
    <row r="6" spans="1:14" s="28" customFormat="1" ht="21" customHeight="1">
      <c r="A6" s="31"/>
      <c r="B6" s="31"/>
      <c r="C6" s="40"/>
      <c r="D6" s="696"/>
      <c r="E6" s="45">
        <v>2210</v>
      </c>
      <c r="F6" s="41">
        <v>1113</v>
      </c>
      <c r="G6" s="41" t="s">
        <v>63</v>
      </c>
      <c r="H6" s="41" t="s">
        <v>11</v>
      </c>
      <c r="I6" s="41">
        <v>1</v>
      </c>
      <c r="J6" s="42"/>
      <c r="K6" s="43">
        <v>1579.5</v>
      </c>
      <c r="L6" s="100"/>
      <c r="N6" s="265"/>
    </row>
    <row r="7" spans="1:14" s="28" customFormat="1" ht="27" customHeight="1">
      <c r="A7" s="31"/>
      <c r="B7" s="31"/>
      <c r="C7" s="40"/>
      <c r="D7" s="697"/>
      <c r="E7" s="45">
        <v>2210</v>
      </c>
      <c r="F7" s="41" t="s">
        <v>15</v>
      </c>
      <c r="G7" s="41" t="s">
        <v>37</v>
      </c>
      <c r="H7" s="41" t="s">
        <v>11</v>
      </c>
      <c r="I7" s="41">
        <v>1</v>
      </c>
      <c r="J7" s="42"/>
      <c r="K7" s="43">
        <v>1053</v>
      </c>
      <c r="L7" s="100"/>
      <c r="N7" s="265"/>
    </row>
    <row r="8" spans="1:14" s="245" customFormat="1" ht="27" customHeight="1">
      <c r="A8" s="127"/>
      <c r="B8" s="127"/>
      <c r="C8" s="248"/>
      <c r="D8" s="510"/>
      <c r="E8" s="250"/>
      <c r="F8" s="249"/>
      <c r="G8" s="249"/>
      <c r="H8" s="249"/>
      <c r="I8" s="249"/>
      <c r="J8" s="251"/>
      <c r="K8" s="253">
        <f>SUM(K3:K7)</f>
        <v>98378.97</v>
      </c>
      <c r="L8" s="191"/>
      <c r="N8" s="511"/>
    </row>
    <row r="9" spans="1:14" s="28" customFormat="1" ht="21" customHeight="1">
      <c r="A9" s="31">
        <v>2</v>
      </c>
      <c r="B9" s="31" t="s">
        <v>366</v>
      </c>
      <c r="C9" s="40" t="s">
        <v>41</v>
      </c>
      <c r="D9" s="701" t="s">
        <v>55</v>
      </c>
      <c r="E9" s="41">
        <v>3110</v>
      </c>
      <c r="F9" s="41">
        <v>1014</v>
      </c>
      <c r="G9" s="147" t="s">
        <v>86</v>
      </c>
      <c r="H9" s="6" t="s">
        <v>11</v>
      </c>
      <c r="I9" s="41">
        <v>1</v>
      </c>
      <c r="J9" s="42">
        <v>21449</v>
      </c>
      <c r="K9" s="152">
        <v>21449</v>
      </c>
      <c r="L9" s="100"/>
      <c r="N9" s="265"/>
    </row>
    <row r="10" spans="1:14" s="28" customFormat="1" ht="21" customHeight="1">
      <c r="A10" s="31"/>
      <c r="B10" s="31"/>
      <c r="C10" s="40"/>
      <c r="D10" s="702"/>
      <c r="E10" s="41">
        <v>3110</v>
      </c>
      <c r="F10" s="41">
        <v>1014</v>
      </c>
      <c r="G10" s="147" t="s">
        <v>84</v>
      </c>
      <c r="H10" s="6" t="s">
        <v>11</v>
      </c>
      <c r="I10" s="41">
        <v>1</v>
      </c>
      <c r="J10" s="166">
        <v>15999</v>
      </c>
      <c r="K10" s="175">
        <v>15999</v>
      </c>
      <c r="L10" s="100"/>
      <c r="N10" s="265"/>
    </row>
    <row r="11" spans="1:14" s="28" customFormat="1" ht="21" customHeight="1">
      <c r="A11" s="31"/>
      <c r="B11" s="31"/>
      <c r="C11" s="40"/>
      <c r="D11" s="702"/>
      <c r="E11" s="41">
        <v>3110</v>
      </c>
      <c r="F11" s="41">
        <v>1014</v>
      </c>
      <c r="G11" s="147" t="s">
        <v>85</v>
      </c>
      <c r="H11" s="6" t="s">
        <v>11</v>
      </c>
      <c r="I11" s="41">
        <v>5</v>
      </c>
      <c r="J11" s="166">
        <v>9221</v>
      </c>
      <c r="K11" s="175">
        <v>46105</v>
      </c>
      <c r="L11" s="100"/>
      <c r="N11" s="265"/>
    </row>
    <row r="12" spans="1:14" s="28" customFormat="1" ht="21" customHeight="1">
      <c r="A12" s="31"/>
      <c r="B12" s="31"/>
      <c r="C12" s="40"/>
      <c r="D12" s="702"/>
      <c r="E12" s="41">
        <v>2210</v>
      </c>
      <c r="F12" s="41">
        <v>1113</v>
      </c>
      <c r="G12" s="147" t="s">
        <v>88</v>
      </c>
      <c r="H12" s="6" t="s">
        <v>11</v>
      </c>
      <c r="I12" s="41">
        <v>1</v>
      </c>
      <c r="J12" s="166">
        <v>5313</v>
      </c>
      <c r="K12" s="175">
        <v>5313</v>
      </c>
      <c r="L12" s="100"/>
    </row>
    <row r="13" spans="1:14" s="28" customFormat="1" ht="21" customHeight="1">
      <c r="A13" s="31"/>
      <c r="B13" s="31"/>
      <c r="C13" s="40"/>
      <c r="D13" s="703"/>
      <c r="E13" s="41">
        <v>2210</v>
      </c>
      <c r="F13" s="41">
        <v>1113</v>
      </c>
      <c r="G13" s="147" t="s">
        <v>87</v>
      </c>
      <c r="H13" s="35" t="s">
        <v>11</v>
      </c>
      <c r="I13" s="41">
        <v>8</v>
      </c>
      <c r="J13" s="45"/>
      <c r="K13" s="152">
        <f>2028+912</f>
        <v>2940</v>
      </c>
      <c r="L13" s="495"/>
    </row>
    <row r="14" spans="1:14" s="28" customFormat="1" ht="21" customHeight="1">
      <c r="A14" s="31"/>
      <c r="B14" s="31"/>
      <c r="C14" s="40"/>
      <c r="D14" s="177"/>
      <c r="E14" s="41">
        <v>2210</v>
      </c>
      <c r="F14" s="41">
        <v>1113</v>
      </c>
      <c r="G14" s="147" t="s">
        <v>89</v>
      </c>
      <c r="H14" s="35" t="s">
        <v>11</v>
      </c>
      <c r="I14" s="41">
        <v>1</v>
      </c>
      <c r="J14" s="45">
        <v>3100</v>
      </c>
      <c r="K14" s="152">
        <v>3100</v>
      </c>
      <c r="L14" s="495"/>
    </row>
    <row r="15" spans="1:14" s="245" customFormat="1" ht="21" customHeight="1">
      <c r="A15" s="127"/>
      <c r="B15" s="127"/>
      <c r="C15" s="127"/>
      <c r="D15" s="127"/>
      <c r="E15" s="127"/>
      <c r="F15" s="127"/>
      <c r="G15" s="127"/>
      <c r="H15" s="127"/>
      <c r="I15" s="190"/>
      <c r="J15" s="129"/>
      <c r="K15" s="130">
        <f>SUM(K9:K14)</f>
        <v>94906</v>
      </c>
      <c r="L15" s="512"/>
    </row>
    <row r="16" spans="1:14" s="28" customFormat="1" ht="21" customHeight="1">
      <c r="A16" s="31"/>
      <c r="B16" s="31" t="s">
        <v>367</v>
      </c>
      <c r="C16" s="263" t="s">
        <v>153</v>
      </c>
      <c r="D16" s="264" t="s">
        <v>169</v>
      </c>
      <c r="E16" s="196">
        <v>2210</v>
      </c>
      <c r="F16" s="196">
        <v>1113</v>
      </c>
      <c r="G16" s="196" t="s">
        <v>170</v>
      </c>
      <c r="H16" s="196" t="s">
        <v>43</v>
      </c>
      <c r="I16" s="196">
        <f>10+20</f>
        <v>30</v>
      </c>
      <c r="J16" s="197"/>
      <c r="K16" s="32">
        <f>4820+5540</f>
        <v>10360</v>
      </c>
      <c r="L16" s="493"/>
    </row>
    <row r="17" spans="1:12" s="245" customFormat="1" ht="21" customHeight="1">
      <c r="A17" s="127"/>
      <c r="B17" s="127"/>
      <c r="C17" s="127"/>
      <c r="D17" s="127"/>
      <c r="E17" s="127"/>
      <c r="F17" s="127"/>
      <c r="G17" s="127"/>
      <c r="H17" s="127"/>
      <c r="I17" s="128"/>
      <c r="J17" s="129"/>
      <c r="K17" s="130">
        <f>SUM(K16)</f>
        <v>10360</v>
      </c>
      <c r="L17" s="191"/>
    </row>
    <row r="18" spans="1:12" s="28" customFormat="1" ht="21" customHeight="1">
      <c r="A18" s="31"/>
      <c r="B18" s="31" t="s">
        <v>367</v>
      </c>
      <c r="C18" s="41" t="s">
        <v>158</v>
      </c>
      <c r="D18" s="40" t="s">
        <v>159</v>
      </c>
      <c r="E18" s="41">
        <v>2210</v>
      </c>
      <c r="F18" s="41" t="s">
        <v>15</v>
      </c>
      <c r="G18" s="233" t="s">
        <v>161</v>
      </c>
      <c r="H18" s="45" t="s">
        <v>160</v>
      </c>
      <c r="I18" s="41">
        <f>50.33+11.7+1.5+1.5</f>
        <v>65.03</v>
      </c>
      <c r="J18" s="61"/>
      <c r="K18" s="152">
        <f>600+600+9705.03+10103.24</f>
        <v>21008.27</v>
      </c>
      <c r="L18" s="100"/>
    </row>
    <row r="19" spans="1:12" s="28" customFormat="1" ht="21" customHeight="1">
      <c r="A19" s="31"/>
      <c r="B19" s="31"/>
      <c r="C19" s="41"/>
      <c r="D19" s="40"/>
      <c r="E19" s="41">
        <v>2210</v>
      </c>
      <c r="F19" s="41" t="s">
        <v>15</v>
      </c>
      <c r="G19" s="233" t="s">
        <v>162</v>
      </c>
      <c r="H19" s="45" t="s">
        <v>43</v>
      </c>
      <c r="I19" s="41">
        <f>1+2+1+2+3</f>
        <v>9</v>
      </c>
      <c r="J19" s="61"/>
      <c r="K19" s="152">
        <f>1440+960+827.16+97.92+399</f>
        <v>3724.08</v>
      </c>
      <c r="L19" s="100"/>
    </row>
    <row r="20" spans="1:12" s="28" customFormat="1" ht="21" customHeight="1">
      <c r="A20" s="31"/>
      <c r="B20" s="31"/>
      <c r="C20" s="41"/>
      <c r="D20" s="40"/>
      <c r="E20" s="41">
        <v>2210</v>
      </c>
      <c r="F20" s="41" t="s">
        <v>15</v>
      </c>
      <c r="G20" s="233" t="s">
        <v>164</v>
      </c>
      <c r="H20" s="45" t="s">
        <v>163</v>
      </c>
      <c r="I20" s="41">
        <f>1+1</f>
        <v>2</v>
      </c>
      <c r="J20" s="61"/>
      <c r="K20" s="152">
        <f>295.2+512.64</f>
        <v>807.83999999999992</v>
      </c>
      <c r="L20" s="495"/>
    </row>
    <row r="21" spans="1:12" s="28" customFormat="1" ht="21" customHeight="1">
      <c r="A21" s="31"/>
      <c r="B21" s="31"/>
      <c r="C21" s="41"/>
      <c r="D21" s="40"/>
      <c r="E21" s="41">
        <v>2210</v>
      </c>
      <c r="F21" s="41" t="s">
        <v>15</v>
      </c>
      <c r="G21" s="233" t="s">
        <v>165</v>
      </c>
      <c r="H21" s="45" t="s">
        <v>43</v>
      </c>
      <c r="I21" s="41">
        <f>1+5</f>
        <v>6</v>
      </c>
      <c r="J21" s="61"/>
      <c r="K21" s="152">
        <f>367.8+5500</f>
        <v>5867.8</v>
      </c>
      <c r="L21" s="495"/>
    </row>
    <row r="22" spans="1:12" s="28" customFormat="1" ht="21" customHeight="1">
      <c r="A22" s="31"/>
      <c r="B22" s="31"/>
      <c r="C22" s="41"/>
      <c r="D22" s="40"/>
      <c r="E22" s="41">
        <v>2210</v>
      </c>
      <c r="F22" s="41">
        <v>1113</v>
      </c>
      <c r="G22" s="233" t="s">
        <v>166</v>
      </c>
      <c r="H22" s="45" t="s">
        <v>43</v>
      </c>
      <c r="I22" s="41">
        <f>1+1+1+6</f>
        <v>9</v>
      </c>
      <c r="J22" s="61"/>
      <c r="K22" s="152">
        <f>4319.64+1025.52+700+4150</f>
        <v>10195.16</v>
      </c>
      <c r="L22" s="495"/>
    </row>
    <row r="23" spans="1:12" s="28" customFormat="1" ht="21" customHeight="1">
      <c r="A23" s="31"/>
      <c r="B23" s="31"/>
      <c r="C23" s="41"/>
      <c r="D23" s="40"/>
      <c r="E23" s="41">
        <v>3110</v>
      </c>
      <c r="F23" s="41">
        <v>1014</v>
      </c>
      <c r="G23" s="233" t="s">
        <v>167</v>
      </c>
      <c r="H23" s="45" t="s">
        <v>43</v>
      </c>
      <c r="I23" s="41">
        <v>1</v>
      </c>
      <c r="J23" s="61"/>
      <c r="K23" s="152">
        <v>8999</v>
      </c>
      <c r="L23" s="493"/>
    </row>
    <row r="24" spans="1:12" s="28" customFormat="1" ht="21" customHeight="1">
      <c r="A24" s="31"/>
      <c r="B24" s="31"/>
      <c r="C24" s="41"/>
      <c r="D24" s="40"/>
      <c r="E24" s="41">
        <v>3110</v>
      </c>
      <c r="F24" s="41">
        <v>1016</v>
      </c>
      <c r="G24" s="233" t="s">
        <v>168</v>
      </c>
      <c r="H24" s="45" t="s">
        <v>43</v>
      </c>
      <c r="I24" s="41">
        <v>2</v>
      </c>
      <c r="J24" s="61"/>
      <c r="K24" s="152">
        <v>12200</v>
      </c>
      <c r="L24" s="100"/>
    </row>
    <row r="25" spans="1:12" s="245" customFormat="1" ht="21" customHeight="1">
      <c r="A25" s="127"/>
      <c r="B25" s="127"/>
      <c r="C25" s="127"/>
      <c r="D25" s="127"/>
      <c r="E25" s="127"/>
      <c r="F25" s="127"/>
      <c r="G25" s="127"/>
      <c r="H25" s="127"/>
      <c r="I25" s="128"/>
      <c r="J25" s="129"/>
      <c r="K25" s="130">
        <f>SUM(K18:K24)</f>
        <v>62802.149999999994</v>
      </c>
      <c r="L25" s="191"/>
    </row>
    <row r="26" spans="1:12" s="28" customFormat="1" ht="21" customHeight="1">
      <c r="A26" s="31"/>
      <c r="B26" s="31" t="s">
        <v>368</v>
      </c>
      <c r="C26" s="31" t="s">
        <v>369</v>
      </c>
      <c r="D26" s="196" t="s">
        <v>159</v>
      </c>
      <c r="E26" s="196">
        <v>2210</v>
      </c>
      <c r="F26" s="196">
        <v>1113</v>
      </c>
      <c r="G26" s="214" t="s">
        <v>189</v>
      </c>
      <c r="H26" s="196" t="s">
        <v>43</v>
      </c>
      <c r="I26" s="196">
        <v>4</v>
      </c>
      <c r="J26" s="259">
        <v>1600</v>
      </c>
      <c r="K26" s="32">
        <v>6400</v>
      </c>
      <c r="L26" s="100"/>
    </row>
    <row r="27" spans="1:12" s="245" customFormat="1" ht="21" customHeight="1">
      <c r="A27" s="513"/>
      <c r="B27" s="513"/>
      <c r="C27" s="127"/>
      <c r="D27" s="127"/>
      <c r="E27" s="127"/>
      <c r="F27" s="127"/>
      <c r="G27" s="127"/>
      <c r="H27" s="127"/>
      <c r="I27" s="128"/>
      <c r="J27" s="129"/>
      <c r="K27" s="130">
        <f>SUM(K26)</f>
        <v>6400</v>
      </c>
      <c r="L27" s="514"/>
    </row>
    <row r="28" spans="1:12" s="28" customFormat="1" ht="21" customHeight="1">
      <c r="A28" s="496"/>
      <c r="B28" s="31" t="s">
        <v>370</v>
      </c>
      <c r="C28" s="31" t="s">
        <v>369</v>
      </c>
      <c r="D28" s="373" t="s">
        <v>265</v>
      </c>
      <c r="E28" s="374">
        <v>2210</v>
      </c>
      <c r="F28" s="374">
        <v>1113</v>
      </c>
      <c r="G28" s="146" t="s">
        <v>266</v>
      </c>
      <c r="H28" s="146" t="s">
        <v>43</v>
      </c>
      <c r="I28" s="146">
        <f>6+2</f>
        <v>8</v>
      </c>
      <c r="J28" s="140"/>
      <c r="K28" s="152">
        <f>24000+4000</f>
        <v>28000</v>
      </c>
      <c r="L28" s="497"/>
    </row>
    <row r="29" spans="1:12" s="28" customFormat="1" ht="21" customHeight="1">
      <c r="A29" s="31"/>
      <c r="B29" s="31"/>
      <c r="C29" s="31"/>
      <c r="D29" s="373" t="s">
        <v>265</v>
      </c>
      <c r="E29" s="374">
        <v>2210</v>
      </c>
      <c r="F29" s="374">
        <v>1113</v>
      </c>
      <c r="G29" s="146" t="s">
        <v>267</v>
      </c>
      <c r="H29" s="146" t="s">
        <v>43</v>
      </c>
      <c r="I29" s="146">
        <v>13</v>
      </c>
      <c r="J29" s="140"/>
      <c r="K29" s="152">
        <f>4500+28000</f>
        <v>32500</v>
      </c>
      <c r="L29" s="100"/>
    </row>
    <row r="30" spans="1:12" s="28" customFormat="1" ht="21" customHeight="1">
      <c r="A30" s="31"/>
      <c r="B30" s="31"/>
      <c r="C30" s="31"/>
      <c r="D30" s="373" t="s">
        <v>265</v>
      </c>
      <c r="E30" s="374">
        <v>2210</v>
      </c>
      <c r="F30" s="374">
        <v>1113</v>
      </c>
      <c r="G30" s="146" t="s">
        <v>268</v>
      </c>
      <c r="H30" s="146" t="s">
        <v>43</v>
      </c>
      <c r="I30" s="146">
        <f>4+1+4</f>
        <v>9</v>
      </c>
      <c r="J30" s="140"/>
      <c r="K30" s="152">
        <f>1800+2300+7200</f>
        <v>11300</v>
      </c>
      <c r="L30" s="100"/>
    </row>
    <row r="31" spans="1:12" s="28" customFormat="1" ht="21" customHeight="1">
      <c r="A31" s="31"/>
      <c r="B31" s="31"/>
      <c r="C31" s="31"/>
      <c r="D31" s="373" t="s">
        <v>5</v>
      </c>
      <c r="E31" s="374">
        <v>2210</v>
      </c>
      <c r="F31" s="374">
        <v>1113</v>
      </c>
      <c r="G31" s="146" t="s">
        <v>53</v>
      </c>
      <c r="H31" s="146" t="s">
        <v>43</v>
      </c>
      <c r="I31" s="146">
        <v>25</v>
      </c>
      <c r="J31" s="140"/>
      <c r="K31" s="152">
        <v>27500</v>
      </c>
      <c r="L31" s="498"/>
    </row>
    <row r="32" spans="1:12" s="28" customFormat="1" ht="21" customHeight="1">
      <c r="A32" s="31"/>
      <c r="B32" s="31"/>
      <c r="C32" s="31"/>
      <c r="D32" s="373"/>
      <c r="E32" s="374">
        <v>2210</v>
      </c>
      <c r="F32" s="374">
        <v>1113</v>
      </c>
      <c r="G32" s="146" t="s">
        <v>269</v>
      </c>
      <c r="H32" s="146" t="s">
        <v>43</v>
      </c>
      <c r="I32" s="146">
        <v>2</v>
      </c>
      <c r="J32" s="140"/>
      <c r="K32" s="152">
        <v>9000</v>
      </c>
      <c r="L32" s="495"/>
    </row>
    <row r="33" spans="1:16" s="28" customFormat="1" ht="21" customHeight="1">
      <c r="A33" s="31"/>
      <c r="B33" s="31"/>
      <c r="C33" s="31"/>
      <c r="D33" s="373"/>
      <c r="E33" s="374">
        <v>2210</v>
      </c>
      <c r="F33" s="374">
        <v>1113</v>
      </c>
      <c r="G33" s="146" t="s">
        <v>270</v>
      </c>
      <c r="H33" s="146" t="s">
        <v>271</v>
      </c>
      <c r="I33" s="146">
        <v>1</v>
      </c>
      <c r="J33" s="140"/>
      <c r="K33" s="152">
        <v>800</v>
      </c>
      <c r="L33" s="495"/>
    </row>
    <row r="34" spans="1:16" s="28" customFormat="1" ht="21" customHeight="1">
      <c r="A34" s="31"/>
      <c r="B34" s="31"/>
      <c r="C34" s="31"/>
      <c r="D34" s="373"/>
      <c r="E34" s="374">
        <v>2210</v>
      </c>
      <c r="F34" s="374">
        <v>1113</v>
      </c>
      <c r="G34" s="146" t="s">
        <v>272</v>
      </c>
      <c r="H34" s="146" t="s">
        <v>271</v>
      </c>
      <c r="I34" s="146">
        <v>1</v>
      </c>
      <c r="J34" s="140"/>
      <c r="K34" s="152">
        <v>1500</v>
      </c>
      <c r="L34" s="495"/>
    </row>
    <row r="35" spans="1:16" s="28" customFormat="1" ht="21" customHeight="1">
      <c r="A35" s="31"/>
      <c r="B35" s="31"/>
      <c r="C35" s="31"/>
      <c r="D35" s="373"/>
      <c r="E35" s="374">
        <v>2210</v>
      </c>
      <c r="F35" s="374">
        <v>1113</v>
      </c>
      <c r="G35" s="146" t="s">
        <v>34</v>
      </c>
      <c r="H35" s="146" t="s">
        <v>144</v>
      </c>
      <c r="I35" s="146">
        <v>2</v>
      </c>
      <c r="J35" s="140"/>
      <c r="K35" s="152">
        <f>68+168</f>
        <v>236</v>
      </c>
      <c r="L35" s="498"/>
    </row>
    <row r="36" spans="1:16" s="245" customFormat="1" ht="21" customHeight="1">
      <c r="A36" s="127"/>
      <c r="B36" s="127"/>
      <c r="C36" s="127"/>
      <c r="D36" s="127"/>
      <c r="E36" s="127"/>
      <c r="F36" s="127"/>
      <c r="G36" s="127"/>
      <c r="H36" s="127"/>
      <c r="I36" s="128"/>
      <c r="J36" s="129"/>
      <c r="K36" s="130">
        <f>SUM(K28:K35)</f>
        <v>110836</v>
      </c>
      <c r="L36" s="191"/>
    </row>
    <row r="37" spans="1:16" s="28" customFormat="1" ht="21" customHeight="1">
      <c r="A37" s="31"/>
      <c r="B37" s="31" t="s">
        <v>372</v>
      </c>
      <c r="C37" s="31" t="s">
        <v>371</v>
      </c>
      <c r="D37" s="196" t="s">
        <v>159</v>
      </c>
      <c r="E37" s="196">
        <v>2210</v>
      </c>
      <c r="F37" s="196" t="s">
        <v>15</v>
      </c>
      <c r="G37" s="214" t="s">
        <v>237</v>
      </c>
      <c r="H37" s="196" t="s">
        <v>43</v>
      </c>
      <c r="I37" s="196">
        <f>8+1+1</f>
        <v>10</v>
      </c>
      <c r="J37" s="196"/>
      <c r="K37" s="420">
        <f>4799.52+266.4</f>
        <v>5065.92</v>
      </c>
      <c r="L37" s="495"/>
      <c r="M37" s="31"/>
      <c r="P37" s="32"/>
    </row>
    <row r="38" spans="1:16" s="28" customFormat="1" ht="21" customHeight="1">
      <c r="A38" s="31"/>
      <c r="B38" s="31"/>
      <c r="C38" s="31"/>
      <c r="D38" s="196"/>
      <c r="E38" s="196">
        <v>2210</v>
      </c>
      <c r="F38" s="196">
        <v>1113</v>
      </c>
      <c r="G38" s="214" t="s">
        <v>204</v>
      </c>
      <c r="H38" s="196" t="s">
        <v>43</v>
      </c>
      <c r="I38" s="196">
        <f>3+1+1+1+1+2+3+1+1+30+1+1+1+1+1+1+30+1</f>
        <v>81</v>
      </c>
      <c r="J38" s="196"/>
      <c r="K38" s="420">
        <f>6996+2059.98+323.1+243.66+547.2+547.2+547.2+370.98+403.92+5090+18330+2023+1140+1395+2210+966+1211+12240+4018</f>
        <v>60662.240000000005</v>
      </c>
      <c r="L38" s="499"/>
      <c r="M38" s="31"/>
      <c r="P38" s="32"/>
    </row>
    <row r="39" spans="1:16" s="28" customFormat="1" ht="21" customHeight="1">
      <c r="A39" s="31"/>
      <c r="B39" s="31"/>
      <c r="C39" s="31"/>
      <c r="D39" s="196"/>
      <c r="E39" s="196">
        <v>2210</v>
      </c>
      <c r="F39" s="196">
        <v>1113</v>
      </c>
      <c r="G39" s="214" t="s">
        <v>335</v>
      </c>
      <c r="H39" s="196" t="s">
        <v>43</v>
      </c>
      <c r="I39" s="196">
        <v>12</v>
      </c>
      <c r="J39" s="196"/>
      <c r="K39" s="420">
        <f>1787.16+1787.16+411.12+264+624+277.92+552+201.72+495+269.22+682.56+9350+27.12</f>
        <v>16728.98</v>
      </c>
      <c r="L39" s="495"/>
      <c r="M39" s="31"/>
      <c r="P39" s="32"/>
    </row>
    <row r="40" spans="1:16" s="28" customFormat="1" ht="21" customHeight="1">
      <c r="A40" s="31"/>
      <c r="B40" s="31"/>
      <c r="C40" s="31"/>
      <c r="D40" s="196"/>
      <c r="E40" s="196">
        <v>2210</v>
      </c>
      <c r="F40" s="196">
        <v>1113</v>
      </c>
      <c r="G40" s="214" t="s">
        <v>29</v>
      </c>
      <c r="H40" s="196" t="s">
        <v>43</v>
      </c>
      <c r="I40" s="196">
        <v>1</v>
      </c>
      <c r="J40" s="196"/>
      <c r="K40" s="420">
        <v>1374.06</v>
      </c>
      <c r="L40" s="122"/>
    </row>
    <row r="41" spans="1:16" s="28" customFormat="1" ht="21" customHeight="1">
      <c r="A41" s="31"/>
      <c r="B41" s="31"/>
      <c r="C41" s="31"/>
      <c r="D41" s="196"/>
      <c r="E41" s="196">
        <v>2210</v>
      </c>
      <c r="F41" s="196" t="s">
        <v>15</v>
      </c>
      <c r="G41" s="214" t="s">
        <v>336</v>
      </c>
      <c r="H41" s="196" t="s">
        <v>152</v>
      </c>
      <c r="I41" s="196">
        <v>56.1</v>
      </c>
      <c r="J41" s="196"/>
      <c r="K41" s="420">
        <v>7802.39</v>
      </c>
      <c r="L41" s="122"/>
    </row>
    <row r="42" spans="1:16" s="28" customFormat="1" ht="21" customHeight="1">
      <c r="A42" s="31"/>
      <c r="B42" s="31"/>
      <c r="C42" s="31"/>
      <c r="D42" s="196"/>
      <c r="E42" s="196">
        <v>3110</v>
      </c>
      <c r="F42" s="196">
        <v>1014</v>
      </c>
      <c r="G42" s="214" t="s">
        <v>275</v>
      </c>
      <c r="H42" s="196" t="s">
        <v>43</v>
      </c>
      <c r="I42" s="196">
        <v>1</v>
      </c>
      <c r="J42" s="196"/>
      <c r="K42" s="420">
        <v>7299</v>
      </c>
      <c r="L42" s="122"/>
    </row>
    <row r="43" spans="1:16" s="245" customFormat="1" ht="21" customHeight="1">
      <c r="A43" s="127"/>
      <c r="B43" s="127"/>
      <c r="C43" s="127"/>
      <c r="D43" s="127"/>
      <c r="E43" s="127"/>
      <c r="F43" s="127"/>
      <c r="G43" s="127"/>
      <c r="H43" s="127"/>
      <c r="I43" s="128"/>
      <c r="J43" s="129"/>
      <c r="K43" s="130">
        <f>SUM(K37:K42)</f>
        <v>98932.59</v>
      </c>
      <c r="L43" s="124"/>
    </row>
    <row r="44" spans="1:16" s="28" customFormat="1" ht="21" customHeight="1">
      <c r="A44" s="31"/>
      <c r="B44" s="31"/>
      <c r="C44" s="31"/>
      <c r="D44" s="31"/>
      <c r="E44" s="31"/>
      <c r="F44" s="31"/>
      <c r="G44" s="515" t="s">
        <v>6</v>
      </c>
      <c r="H44" s="31"/>
      <c r="I44" s="34"/>
      <c r="J44" s="32"/>
      <c r="K44" s="186">
        <f>K43+K36+K27+K25+K17+K15+K8</f>
        <v>482615.70999999996</v>
      </c>
      <c r="L44" s="122"/>
    </row>
    <row r="45" spans="1:16" s="28" customFormat="1" ht="21" customHeight="1">
      <c r="A45" s="31"/>
      <c r="B45" s="31"/>
      <c r="C45" s="31"/>
      <c r="D45" s="31"/>
      <c r="E45" s="31"/>
      <c r="F45" s="31"/>
      <c r="G45" s="354"/>
      <c r="H45" s="31"/>
      <c r="I45" s="34"/>
      <c r="J45" s="32"/>
      <c r="K45" s="186"/>
      <c r="L45" s="122"/>
    </row>
    <row r="46" spans="1:16" s="28" customFormat="1" ht="21" customHeight="1">
      <c r="A46" s="31"/>
      <c r="B46" s="31"/>
      <c r="C46" s="31"/>
      <c r="D46" s="31"/>
      <c r="E46" s="31"/>
      <c r="F46" s="31"/>
      <c r="G46" s="354"/>
      <c r="H46" s="31"/>
      <c r="I46" s="34"/>
      <c r="J46" s="32"/>
      <c r="K46" s="186"/>
      <c r="L46" s="122"/>
    </row>
    <row r="47" spans="1:16" s="28" customFormat="1" ht="18.75">
      <c r="A47" s="31"/>
      <c r="B47" s="31"/>
      <c r="C47" s="31"/>
      <c r="D47" s="31"/>
      <c r="E47" s="31"/>
      <c r="F47" s="31"/>
      <c r="G47" s="494"/>
      <c r="H47" s="31"/>
      <c r="I47" s="34"/>
      <c r="J47" s="32"/>
      <c r="K47" s="32"/>
      <c r="L47" s="122"/>
    </row>
    <row r="48" spans="1:16" s="28" customFormat="1" ht="18.75">
      <c r="A48" s="31"/>
      <c r="B48" s="31"/>
      <c r="C48" s="31"/>
      <c r="D48" s="31"/>
      <c r="E48" s="31"/>
      <c r="F48" s="31"/>
      <c r="G48" s="494"/>
      <c r="H48" s="31"/>
      <c r="I48" s="34"/>
      <c r="J48" s="32"/>
      <c r="K48" s="32"/>
      <c r="L48" s="122"/>
    </row>
    <row r="49" spans="1:14" s="28" customFormat="1" ht="21" customHeight="1">
      <c r="A49" s="31"/>
      <c r="B49" s="31"/>
      <c r="C49" s="31"/>
      <c r="D49" s="31"/>
      <c r="E49" s="31"/>
      <c r="F49" s="31"/>
      <c r="G49" s="500"/>
      <c r="H49" s="31"/>
      <c r="I49" s="34"/>
      <c r="J49" s="32"/>
      <c r="K49" s="186"/>
      <c r="L49" s="498"/>
    </row>
    <row r="50" spans="1:14" s="28" customFormat="1" ht="21" customHeight="1">
      <c r="A50" s="31"/>
      <c r="B50" s="31"/>
      <c r="C50" s="31"/>
      <c r="D50" s="31"/>
      <c r="E50" s="31"/>
      <c r="F50" s="31"/>
      <c r="G50" s="494"/>
      <c r="H50" s="31"/>
      <c r="I50" s="34"/>
      <c r="J50" s="32"/>
      <c r="K50" s="32"/>
      <c r="L50" s="495"/>
    </row>
    <row r="51" spans="1:14" s="28" customFormat="1" ht="21" customHeight="1">
      <c r="A51" s="31"/>
      <c r="B51" s="31"/>
      <c r="C51" s="31"/>
      <c r="D51" s="31"/>
      <c r="E51" s="31"/>
      <c r="F51" s="31"/>
      <c r="G51" s="494"/>
      <c r="H51" s="31"/>
      <c r="I51" s="34"/>
      <c r="J51" s="32"/>
      <c r="K51" s="32"/>
      <c r="L51" s="495"/>
    </row>
    <row r="52" spans="1:14" s="28" customFormat="1" ht="21" customHeight="1">
      <c r="A52" s="31"/>
      <c r="B52" s="31"/>
      <c r="C52" s="31"/>
      <c r="D52" s="31"/>
      <c r="E52" s="31"/>
      <c r="F52" s="31"/>
      <c r="G52" s="494"/>
      <c r="H52" s="31"/>
      <c r="I52" s="34"/>
      <c r="J52" s="32"/>
      <c r="K52" s="32"/>
      <c r="L52" s="495"/>
    </row>
    <row r="53" spans="1:14" s="28" customFormat="1" ht="21" customHeight="1">
      <c r="A53" s="31"/>
      <c r="B53" s="31"/>
      <c r="C53" s="31"/>
      <c r="D53" s="31"/>
      <c r="E53" s="31"/>
      <c r="F53" s="31"/>
      <c r="G53" s="494"/>
      <c r="H53" s="31"/>
      <c r="I53" s="34"/>
      <c r="J53" s="32"/>
      <c r="K53" s="32"/>
      <c r="L53" s="495"/>
    </row>
    <row r="54" spans="1:14" s="28" customFormat="1" ht="21" customHeight="1">
      <c r="A54" s="31"/>
      <c r="B54" s="31"/>
      <c r="C54" s="31"/>
      <c r="D54" s="31"/>
      <c r="E54" s="31"/>
      <c r="F54" s="31"/>
      <c r="G54" s="494"/>
      <c r="H54" s="31"/>
      <c r="I54" s="34"/>
      <c r="J54" s="32"/>
      <c r="K54" s="32"/>
      <c r="L54" s="498"/>
    </row>
    <row r="55" spans="1:14" s="28" customFormat="1" ht="21" customHeight="1">
      <c r="A55" s="31"/>
      <c r="B55" s="31"/>
      <c r="C55" s="31"/>
      <c r="D55" s="31"/>
      <c r="E55" s="31"/>
      <c r="F55" s="31"/>
      <c r="G55" s="500"/>
      <c r="H55" s="31"/>
      <c r="I55" s="34"/>
      <c r="J55" s="32"/>
      <c r="K55" s="186"/>
      <c r="L55" s="498"/>
    </row>
    <row r="56" spans="1:14" s="23" customFormat="1" ht="21" customHeight="1">
      <c r="A56" s="693" t="s">
        <v>23</v>
      </c>
      <c r="B56" s="693"/>
      <c r="C56" s="693"/>
      <c r="D56" s="693"/>
      <c r="E56" s="693"/>
      <c r="F56" s="693"/>
      <c r="G56" s="693"/>
      <c r="H56" s="693"/>
      <c r="I56" s="693"/>
      <c r="J56" s="693"/>
      <c r="K56" s="90">
        <f>K5+K11+K16+K19+K23+K28+K31+K35+K39+K41+K45+K49+K55</f>
        <v>198733.80000000002</v>
      </c>
      <c r="L56" s="108"/>
      <c r="M56" s="38"/>
    </row>
    <row r="57" spans="1:14" customFormat="1" ht="21" customHeight="1">
      <c r="A57" s="49">
        <v>14</v>
      </c>
      <c r="B57" s="502"/>
      <c r="C57" s="40" t="s">
        <v>20</v>
      </c>
      <c r="D57" s="46" t="s">
        <v>5</v>
      </c>
      <c r="E57" s="45">
        <v>2210</v>
      </c>
      <c r="F57" s="41" t="s">
        <v>15</v>
      </c>
      <c r="G57" s="41" t="s">
        <v>34</v>
      </c>
      <c r="H57" s="41" t="s">
        <v>12</v>
      </c>
      <c r="I57" s="41">
        <v>12.2</v>
      </c>
      <c r="J57" s="42"/>
      <c r="K57" s="43">
        <v>406</v>
      </c>
      <c r="L57" s="123"/>
    </row>
    <row r="58" spans="1:14" customFormat="1" ht="21" customHeight="1">
      <c r="A58" s="72"/>
      <c r="B58" s="72"/>
      <c r="C58" s="74"/>
      <c r="D58" s="153"/>
      <c r="E58" s="87"/>
      <c r="F58" s="74"/>
      <c r="G58" s="74" t="s">
        <v>6</v>
      </c>
      <c r="H58" s="74"/>
      <c r="I58" s="74"/>
      <c r="J58" s="88"/>
      <c r="K58" s="155">
        <f>SUM(K57:K57)</f>
        <v>406</v>
      </c>
      <c r="L58" s="109"/>
    </row>
    <row r="59" spans="1:14" customFormat="1" ht="21" customHeight="1">
      <c r="A59" s="49">
        <v>15</v>
      </c>
      <c r="B59" s="502"/>
      <c r="C59" s="40" t="s">
        <v>35</v>
      </c>
      <c r="D59" s="694" t="s">
        <v>47</v>
      </c>
      <c r="E59" s="45">
        <v>2210</v>
      </c>
      <c r="F59" s="41">
        <v>1113</v>
      </c>
      <c r="G59" s="41" t="s">
        <v>60</v>
      </c>
      <c r="H59" s="41" t="s">
        <v>11</v>
      </c>
      <c r="I59" s="41">
        <v>12</v>
      </c>
      <c r="J59" s="42"/>
      <c r="K59" s="43">
        <v>7968.12</v>
      </c>
      <c r="L59" s="125"/>
    </row>
    <row r="60" spans="1:14" customFormat="1" ht="21" customHeight="1">
      <c r="A60" s="49"/>
      <c r="B60" s="502"/>
      <c r="C60" s="40"/>
      <c r="D60" s="695"/>
      <c r="E60" s="45">
        <v>2240</v>
      </c>
      <c r="F60" s="41" t="s">
        <v>62</v>
      </c>
      <c r="G60" s="41" t="s">
        <v>61</v>
      </c>
      <c r="H60" s="41" t="s">
        <v>11</v>
      </c>
      <c r="I60" s="165">
        <v>11</v>
      </c>
      <c r="J60" s="166"/>
      <c r="K60" s="167">
        <v>38500</v>
      </c>
      <c r="L60" s="125"/>
      <c r="N60" s="159"/>
    </row>
    <row r="61" spans="1:14" customFormat="1" ht="21" customHeight="1">
      <c r="A61" s="49"/>
      <c r="B61" s="502"/>
      <c r="C61" s="40"/>
      <c r="D61" s="696"/>
      <c r="E61" s="45">
        <v>3110</v>
      </c>
      <c r="F61" s="41">
        <v>1014</v>
      </c>
      <c r="G61" s="41" t="s">
        <v>36</v>
      </c>
      <c r="H61" s="41" t="s">
        <v>11</v>
      </c>
      <c r="I61" s="41">
        <v>2</v>
      </c>
      <c r="J61" s="42"/>
      <c r="K61" s="43">
        <v>49278.35</v>
      </c>
      <c r="L61" s="125"/>
      <c r="N61" s="160"/>
    </row>
    <row r="62" spans="1:14" customFormat="1" ht="21" customHeight="1">
      <c r="A62" s="49"/>
      <c r="B62" s="502"/>
      <c r="C62" s="40"/>
      <c r="D62" s="696"/>
      <c r="E62" s="45">
        <v>2210</v>
      </c>
      <c r="F62" s="41">
        <v>1113</v>
      </c>
      <c r="G62" s="41" t="s">
        <v>63</v>
      </c>
      <c r="H62" s="41" t="s">
        <v>11</v>
      </c>
      <c r="I62" s="41">
        <v>1</v>
      </c>
      <c r="J62" s="42"/>
      <c r="K62" s="43">
        <v>1579.5</v>
      </c>
      <c r="L62" s="125"/>
      <c r="N62" s="160"/>
    </row>
    <row r="63" spans="1:14" customFormat="1" ht="21" customHeight="1">
      <c r="A63" s="49"/>
      <c r="B63" s="502"/>
      <c r="C63" s="40"/>
      <c r="D63" s="697"/>
      <c r="E63" s="45">
        <v>2210</v>
      </c>
      <c r="F63" s="41" t="s">
        <v>15</v>
      </c>
      <c r="G63" s="41" t="s">
        <v>37</v>
      </c>
      <c r="H63" s="41" t="s">
        <v>11</v>
      </c>
      <c r="I63" s="41">
        <v>1</v>
      </c>
      <c r="J63" s="42"/>
      <c r="K63" s="43">
        <v>1053</v>
      </c>
      <c r="L63" s="125"/>
      <c r="N63" s="160"/>
    </row>
    <row r="64" spans="1:14" customFormat="1" ht="21" customHeight="1">
      <c r="A64" s="72"/>
      <c r="B64" s="72"/>
      <c r="C64" s="78"/>
      <c r="D64" s="72"/>
      <c r="E64" s="78"/>
      <c r="F64" s="78"/>
      <c r="G64" s="79" t="s">
        <v>6</v>
      </c>
      <c r="H64" s="80"/>
      <c r="I64" s="141"/>
      <c r="J64" s="81"/>
      <c r="K64" s="77">
        <f>SUM(K59:K63)</f>
        <v>98378.97</v>
      </c>
      <c r="L64" s="111"/>
    </row>
    <row r="65" spans="1:12" customFormat="1" ht="21" customHeight="1">
      <c r="A65" s="39">
        <v>16</v>
      </c>
      <c r="B65" s="503"/>
      <c r="C65" s="135" t="s">
        <v>38</v>
      </c>
      <c r="D65" s="6" t="s">
        <v>5</v>
      </c>
      <c r="E65" s="50">
        <v>2210</v>
      </c>
      <c r="F65" s="39">
        <v>1113</v>
      </c>
      <c r="G65" s="146" t="s">
        <v>64</v>
      </c>
      <c r="H65" s="39" t="s">
        <v>11</v>
      </c>
      <c r="I65" s="146">
        <v>77</v>
      </c>
      <c r="J65" s="139"/>
      <c r="K65" s="140">
        <v>33740</v>
      </c>
      <c r="L65" s="132"/>
    </row>
    <row r="66" spans="1:12" customFormat="1" ht="21" customHeight="1">
      <c r="A66" s="39"/>
      <c r="B66" s="503"/>
      <c r="C66" s="135"/>
      <c r="D66" s="6"/>
      <c r="E66" s="50">
        <v>2210</v>
      </c>
      <c r="F66" s="39">
        <v>1113</v>
      </c>
      <c r="G66" s="146" t="s">
        <v>65</v>
      </c>
      <c r="H66" s="39" t="s">
        <v>11</v>
      </c>
      <c r="I66" s="168">
        <v>1</v>
      </c>
      <c r="J66" s="169"/>
      <c r="K66" s="170">
        <v>3200</v>
      </c>
      <c r="L66" s="132"/>
    </row>
    <row r="67" spans="1:12" customFormat="1" ht="21" customHeight="1">
      <c r="A67" s="72"/>
      <c r="B67" s="72"/>
      <c r="C67" s="136"/>
      <c r="D67" s="137"/>
      <c r="E67" s="82"/>
      <c r="F67" s="72"/>
      <c r="G67" s="79" t="s">
        <v>6</v>
      </c>
      <c r="H67" s="78"/>
      <c r="I67" s="138"/>
      <c r="J67" s="80"/>
      <c r="K67" s="76">
        <f>SUM(K65:K66)</f>
        <v>36940</v>
      </c>
      <c r="L67" s="81"/>
    </row>
    <row r="68" spans="1:12" customFormat="1" ht="21" customHeight="1">
      <c r="A68" s="51">
        <v>17</v>
      </c>
      <c r="B68" s="504"/>
      <c r="C68" s="133" t="s">
        <v>21</v>
      </c>
      <c r="D68" s="134" t="s">
        <v>5</v>
      </c>
      <c r="E68" s="54">
        <v>2210</v>
      </c>
      <c r="F68" s="54">
        <v>1113</v>
      </c>
      <c r="G68" s="10" t="s">
        <v>69</v>
      </c>
      <c r="H68" s="54" t="s">
        <v>11</v>
      </c>
      <c r="I68" s="54">
        <v>5</v>
      </c>
      <c r="J68" s="55">
        <v>230</v>
      </c>
      <c r="K68" s="56">
        <v>1150</v>
      </c>
      <c r="L68" s="112"/>
    </row>
    <row r="69" spans="1:12" customFormat="1" ht="21" customHeight="1">
      <c r="A69" s="51"/>
      <c r="B69" s="504"/>
      <c r="C69" s="133"/>
      <c r="D69" s="134"/>
      <c r="E69" s="54">
        <v>2210</v>
      </c>
      <c r="F69" s="54" t="s">
        <v>15</v>
      </c>
      <c r="G69" s="54" t="s">
        <v>68</v>
      </c>
      <c r="H69" s="54" t="s">
        <v>11</v>
      </c>
      <c r="I69" s="171">
        <v>23</v>
      </c>
      <c r="J69" s="172"/>
      <c r="K69" s="173">
        <f>360+1900+900</f>
        <v>3160</v>
      </c>
      <c r="L69" s="112"/>
    </row>
    <row r="70" spans="1:12" customFormat="1" ht="21" customHeight="1">
      <c r="A70" s="51"/>
      <c r="B70" s="504"/>
      <c r="C70" s="133"/>
      <c r="D70" s="134"/>
      <c r="E70" s="54">
        <v>2210</v>
      </c>
      <c r="F70" s="54">
        <v>1113</v>
      </c>
      <c r="G70" s="10" t="s">
        <v>66</v>
      </c>
      <c r="H70" s="54" t="s">
        <v>11</v>
      </c>
      <c r="I70" s="171">
        <v>1</v>
      </c>
      <c r="J70" s="172"/>
      <c r="K70" s="173">
        <v>2380</v>
      </c>
      <c r="L70" s="112"/>
    </row>
    <row r="71" spans="1:12" customFormat="1" ht="21" customHeight="1">
      <c r="A71" s="51"/>
      <c r="B71" s="504"/>
      <c r="C71" s="133"/>
      <c r="D71" s="134"/>
      <c r="E71" s="54">
        <v>2210</v>
      </c>
      <c r="F71" s="54">
        <v>1513</v>
      </c>
      <c r="G71" s="10" t="s">
        <v>52</v>
      </c>
      <c r="H71" s="54" t="s">
        <v>11</v>
      </c>
      <c r="I71" s="54">
        <v>4</v>
      </c>
      <c r="J71" s="55"/>
      <c r="K71" s="56">
        <v>22120</v>
      </c>
      <c r="L71" s="112"/>
    </row>
    <row r="72" spans="1:12" customFormat="1" ht="21" customHeight="1">
      <c r="A72" s="51"/>
      <c r="B72" s="504"/>
      <c r="C72" s="133"/>
      <c r="D72" s="134"/>
      <c r="E72" s="54">
        <v>2210</v>
      </c>
      <c r="F72" s="54">
        <v>1113</v>
      </c>
      <c r="G72" s="171" t="s">
        <v>70</v>
      </c>
      <c r="H72" s="54" t="s">
        <v>11</v>
      </c>
      <c r="I72" s="54">
        <v>9</v>
      </c>
      <c r="J72" s="55"/>
      <c r="K72" s="56">
        <f>2565+7500+3000+2565+2940</f>
        <v>18570</v>
      </c>
      <c r="L72" s="112"/>
    </row>
    <row r="73" spans="1:12" customFormat="1" ht="21" customHeight="1">
      <c r="A73" s="72"/>
      <c r="B73" s="505"/>
      <c r="C73" s="73"/>
      <c r="D73" s="74"/>
      <c r="E73" s="74"/>
      <c r="F73" s="74"/>
      <c r="G73" s="79" t="s">
        <v>6</v>
      </c>
      <c r="H73" s="83"/>
      <c r="I73" s="84"/>
      <c r="J73" s="85"/>
      <c r="K73" s="77">
        <f>47380</f>
        <v>47380</v>
      </c>
      <c r="L73" s="109"/>
    </row>
    <row r="74" spans="1:12" customFormat="1" ht="21" customHeight="1">
      <c r="A74" s="39">
        <v>18</v>
      </c>
      <c r="B74" s="50"/>
      <c r="C74" s="40" t="s">
        <v>39</v>
      </c>
      <c r="D74" s="41" t="s">
        <v>5</v>
      </c>
      <c r="E74" s="41">
        <v>2210</v>
      </c>
      <c r="F74" s="41">
        <v>1113</v>
      </c>
      <c r="G74" s="146" t="s">
        <v>53</v>
      </c>
      <c r="H74" s="35" t="s">
        <v>11</v>
      </c>
      <c r="I74" s="147">
        <v>3</v>
      </c>
      <c r="J74" s="140">
        <v>980</v>
      </c>
      <c r="K74" s="152">
        <v>2940</v>
      </c>
      <c r="L74" s="113"/>
    </row>
    <row r="75" spans="1:12" customFormat="1" ht="21" customHeight="1">
      <c r="A75" s="39"/>
      <c r="B75" s="50"/>
      <c r="C75" s="40"/>
      <c r="D75" s="41"/>
      <c r="E75" s="41">
        <v>2210</v>
      </c>
      <c r="F75" s="41">
        <v>1113</v>
      </c>
      <c r="G75" s="146" t="s">
        <v>72</v>
      </c>
      <c r="H75" s="35" t="s">
        <v>11</v>
      </c>
      <c r="I75" s="176">
        <v>3</v>
      </c>
      <c r="J75" s="174"/>
      <c r="K75" s="175">
        <f>2638+2359</f>
        <v>4997</v>
      </c>
      <c r="L75" s="113"/>
    </row>
    <row r="76" spans="1:12" customFormat="1" ht="21" customHeight="1">
      <c r="A76" s="39"/>
      <c r="B76" s="50"/>
      <c r="C76" s="40"/>
      <c r="D76" s="41"/>
      <c r="E76" s="41">
        <v>2210</v>
      </c>
      <c r="F76" s="41">
        <v>1113</v>
      </c>
      <c r="G76" s="146" t="s">
        <v>71</v>
      </c>
      <c r="H76" s="35" t="s">
        <v>11</v>
      </c>
      <c r="I76" s="176">
        <v>2</v>
      </c>
      <c r="J76" s="170"/>
      <c r="K76" s="175">
        <f>3699+557.91</f>
        <v>4256.91</v>
      </c>
      <c r="L76" s="113"/>
    </row>
    <row r="77" spans="1:12" customFormat="1" ht="21" customHeight="1">
      <c r="A77" s="72"/>
      <c r="B77" s="505"/>
      <c r="C77" s="73"/>
      <c r="D77" s="74"/>
      <c r="E77" s="74"/>
      <c r="F77" s="74"/>
      <c r="G77" s="79" t="s">
        <v>6</v>
      </c>
      <c r="H77" s="83"/>
      <c r="I77" s="84"/>
      <c r="J77" s="85"/>
      <c r="K77" s="86">
        <v>12193.91</v>
      </c>
      <c r="L77" s="114"/>
    </row>
    <row r="78" spans="1:12" customFormat="1" ht="21" customHeight="1">
      <c r="A78" s="51">
        <v>19</v>
      </c>
      <c r="B78" s="506"/>
      <c r="C78" s="52" t="s">
        <v>22</v>
      </c>
      <c r="D78" s="53" t="s">
        <v>5</v>
      </c>
      <c r="E78" s="54">
        <v>2210</v>
      </c>
      <c r="F78" s="54">
        <v>1113</v>
      </c>
      <c r="G78" s="157" t="s">
        <v>75</v>
      </c>
      <c r="H78" s="54" t="s">
        <v>74</v>
      </c>
      <c r="I78" s="54">
        <v>1</v>
      </c>
      <c r="J78" s="55">
        <v>1695</v>
      </c>
      <c r="K78" s="56">
        <v>1695</v>
      </c>
      <c r="L78" s="151"/>
    </row>
    <row r="79" spans="1:12" customFormat="1" ht="21" customHeight="1">
      <c r="A79" s="51"/>
      <c r="B79" s="506"/>
      <c r="C79" s="52"/>
      <c r="D79" s="53"/>
      <c r="E79" s="54">
        <v>2210</v>
      </c>
      <c r="F79" s="54">
        <v>1113</v>
      </c>
      <c r="G79" s="157" t="s">
        <v>73</v>
      </c>
      <c r="H79" s="54" t="s">
        <v>11</v>
      </c>
      <c r="I79" s="171">
        <v>11</v>
      </c>
      <c r="J79" s="172">
        <v>488</v>
      </c>
      <c r="K79" s="173">
        <v>5368</v>
      </c>
      <c r="L79" s="151"/>
    </row>
    <row r="80" spans="1:12" customFormat="1" ht="21" customHeight="1">
      <c r="A80" s="51"/>
      <c r="B80" s="506"/>
      <c r="C80" s="52"/>
      <c r="D80" s="53"/>
      <c r="E80" s="54">
        <v>2210</v>
      </c>
      <c r="F80" s="54">
        <v>1113</v>
      </c>
      <c r="G80" s="46" t="s">
        <v>76</v>
      </c>
      <c r="H80" s="54" t="s">
        <v>43</v>
      </c>
      <c r="I80" s="54">
        <v>13</v>
      </c>
      <c r="J80" s="55">
        <v>411.64</v>
      </c>
      <c r="K80" s="56">
        <v>5351.32</v>
      </c>
      <c r="L80" s="151"/>
    </row>
    <row r="81" spans="1:12" customFormat="1" ht="21" customHeight="1">
      <c r="A81" s="72"/>
      <c r="B81" s="505"/>
      <c r="C81" s="73"/>
      <c r="D81" s="74"/>
      <c r="E81" s="74"/>
      <c r="F81" s="74"/>
      <c r="G81" s="79" t="s">
        <v>6</v>
      </c>
      <c r="H81" s="87"/>
      <c r="I81" s="74"/>
      <c r="J81" s="88"/>
      <c r="K81" s="77">
        <f>SUM(K78:K80)</f>
        <v>12414.32</v>
      </c>
      <c r="L81" s="109"/>
    </row>
    <row r="82" spans="1:12" s="1" customFormat="1" ht="21" customHeight="1">
      <c r="A82" s="67">
        <v>20</v>
      </c>
      <c r="B82" s="507"/>
      <c r="C82" s="44" t="s">
        <v>26</v>
      </c>
      <c r="D82" s="698" t="s">
        <v>5</v>
      </c>
      <c r="E82" s="45">
        <v>2210</v>
      </c>
      <c r="F82" s="45">
        <v>1113</v>
      </c>
      <c r="G82" s="31" t="s">
        <v>67</v>
      </c>
      <c r="H82" s="45" t="s">
        <v>11</v>
      </c>
      <c r="I82" s="45">
        <v>1</v>
      </c>
      <c r="J82" s="47">
        <v>2700</v>
      </c>
      <c r="K82" s="48">
        <v>2700</v>
      </c>
      <c r="L82" s="123"/>
    </row>
    <row r="83" spans="1:12" s="1" customFormat="1" ht="21" customHeight="1">
      <c r="A83" s="67"/>
      <c r="B83" s="507"/>
      <c r="C83" s="44"/>
      <c r="D83" s="699"/>
      <c r="E83" s="45">
        <v>2210</v>
      </c>
      <c r="F83" s="45">
        <v>1113</v>
      </c>
      <c r="G83" s="31" t="s">
        <v>80</v>
      </c>
      <c r="H83" s="45" t="s">
        <v>43</v>
      </c>
      <c r="I83" s="45">
        <v>13</v>
      </c>
      <c r="J83" s="47">
        <v>1209</v>
      </c>
      <c r="K83" s="48">
        <v>15717</v>
      </c>
      <c r="L83" s="131"/>
    </row>
    <row r="84" spans="1:12" s="1" customFormat="1" ht="21" customHeight="1">
      <c r="A84" s="67"/>
      <c r="B84" s="507"/>
      <c r="C84" s="44"/>
      <c r="D84" s="699"/>
      <c r="E84" s="45">
        <v>2210</v>
      </c>
      <c r="F84" s="45">
        <v>1113</v>
      </c>
      <c r="G84" s="31" t="s">
        <v>81</v>
      </c>
      <c r="H84" s="45" t="s">
        <v>43</v>
      </c>
      <c r="I84" s="45">
        <v>1</v>
      </c>
      <c r="J84" s="47">
        <v>1100</v>
      </c>
      <c r="K84" s="48">
        <v>1100</v>
      </c>
      <c r="L84" s="131"/>
    </row>
    <row r="85" spans="1:12" s="1" customFormat="1" ht="21" customHeight="1">
      <c r="A85" s="67"/>
      <c r="B85" s="507"/>
      <c r="C85" s="44"/>
      <c r="D85" s="699"/>
      <c r="E85" s="45">
        <v>2210</v>
      </c>
      <c r="F85" s="45">
        <v>1113</v>
      </c>
      <c r="G85" s="31" t="s">
        <v>82</v>
      </c>
      <c r="H85" s="45" t="s">
        <v>43</v>
      </c>
      <c r="I85" s="45">
        <v>1</v>
      </c>
      <c r="J85" s="47">
        <v>1331</v>
      </c>
      <c r="K85" s="48">
        <v>1331</v>
      </c>
      <c r="L85" s="131"/>
    </row>
    <row r="86" spans="1:12" s="1" customFormat="1" ht="21" customHeight="1">
      <c r="A86" s="67"/>
      <c r="B86" s="507"/>
      <c r="C86" s="44"/>
      <c r="D86" s="699"/>
      <c r="E86" s="45">
        <v>2210</v>
      </c>
      <c r="F86" s="45">
        <v>1113</v>
      </c>
      <c r="G86" s="31" t="s">
        <v>83</v>
      </c>
      <c r="H86" s="45" t="s">
        <v>43</v>
      </c>
      <c r="I86" s="45">
        <v>1</v>
      </c>
      <c r="J86" s="47">
        <v>1669</v>
      </c>
      <c r="K86" s="48">
        <v>1669</v>
      </c>
      <c r="L86" s="131"/>
    </row>
    <row r="87" spans="1:12" s="1" customFormat="1" ht="21" customHeight="1">
      <c r="A87" s="67"/>
      <c r="B87" s="507"/>
      <c r="C87" s="44"/>
      <c r="D87" s="699"/>
      <c r="E87" s="45">
        <v>2210</v>
      </c>
      <c r="F87" s="45">
        <v>1113</v>
      </c>
      <c r="G87" s="31" t="s">
        <v>77</v>
      </c>
      <c r="H87" s="45" t="s">
        <v>11</v>
      </c>
      <c r="I87" s="171">
        <v>14</v>
      </c>
      <c r="J87" s="172">
        <v>78.599999999999994</v>
      </c>
      <c r="K87" s="173">
        <v>1100.4000000000001</v>
      </c>
      <c r="L87" s="131"/>
    </row>
    <row r="88" spans="1:12" s="1" customFormat="1" ht="21" customHeight="1">
      <c r="A88" s="67"/>
      <c r="B88" s="507"/>
      <c r="C88" s="44"/>
      <c r="D88" s="699"/>
      <c r="E88" s="45">
        <v>2210</v>
      </c>
      <c r="F88" s="45">
        <v>1113</v>
      </c>
      <c r="G88" s="31" t="s">
        <v>78</v>
      </c>
      <c r="H88" s="45" t="s">
        <v>11</v>
      </c>
      <c r="I88" s="171">
        <v>2</v>
      </c>
      <c r="J88" s="172"/>
      <c r="K88" s="173">
        <f>4444+514</f>
        <v>4958</v>
      </c>
      <c r="L88" s="131"/>
    </row>
    <row r="89" spans="1:12" s="1" customFormat="1" ht="21" customHeight="1">
      <c r="A89" s="67"/>
      <c r="B89" s="507"/>
      <c r="C89" s="44"/>
      <c r="D89" s="699"/>
      <c r="E89" s="45">
        <v>2210</v>
      </c>
      <c r="F89" s="45">
        <v>1113</v>
      </c>
      <c r="G89" s="31" t="s">
        <v>54</v>
      </c>
      <c r="H89" s="45" t="s">
        <v>11</v>
      </c>
      <c r="I89" s="171">
        <v>3</v>
      </c>
      <c r="J89" s="172">
        <v>1453.33</v>
      </c>
      <c r="K89" s="173">
        <v>4360</v>
      </c>
      <c r="L89" s="131"/>
    </row>
    <row r="90" spans="1:12" s="1" customFormat="1" ht="21" customHeight="1">
      <c r="A90" s="67"/>
      <c r="B90" s="507"/>
      <c r="C90" s="44"/>
      <c r="D90" s="699"/>
      <c r="E90" s="45">
        <v>2210</v>
      </c>
      <c r="F90" s="45">
        <v>1513</v>
      </c>
      <c r="G90" s="31" t="s">
        <v>79</v>
      </c>
      <c r="H90" s="45" t="s">
        <v>11</v>
      </c>
      <c r="I90" s="45">
        <v>7</v>
      </c>
      <c r="J90" s="47">
        <v>17.420000000000002</v>
      </c>
      <c r="K90" s="48">
        <f>19690+8900</f>
        <v>28590</v>
      </c>
      <c r="L90" s="131"/>
    </row>
    <row r="91" spans="1:12" s="1" customFormat="1" ht="21" customHeight="1">
      <c r="A91" s="67"/>
      <c r="B91" s="507"/>
      <c r="C91" s="44"/>
      <c r="D91" s="700"/>
      <c r="E91" s="45">
        <v>2210</v>
      </c>
      <c r="F91" s="45" t="s">
        <v>19</v>
      </c>
      <c r="G91" s="67" t="s">
        <v>40</v>
      </c>
      <c r="H91" s="45" t="s">
        <v>11</v>
      </c>
      <c r="I91" s="45">
        <v>1</v>
      </c>
      <c r="J91" s="47">
        <v>120</v>
      </c>
      <c r="K91" s="48">
        <v>120</v>
      </c>
      <c r="L91" s="125"/>
    </row>
    <row r="92" spans="1:12" customFormat="1" ht="21" customHeight="1">
      <c r="A92" s="72"/>
      <c r="B92" s="505"/>
      <c r="C92" s="73"/>
      <c r="D92" s="74"/>
      <c r="E92" s="74"/>
      <c r="F92" s="74"/>
      <c r="G92" s="75" t="s">
        <v>6</v>
      </c>
      <c r="H92" s="87"/>
      <c r="I92" s="74"/>
      <c r="J92" s="88"/>
      <c r="K92" s="77">
        <f>SUM(K82:K91)</f>
        <v>61645.4</v>
      </c>
      <c r="L92" s="109"/>
    </row>
    <row r="93" spans="1:12" customFormat="1" ht="21" customHeight="1">
      <c r="A93" s="39">
        <v>21</v>
      </c>
      <c r="B93" s="50"/>
      <c r="C93" s="40" t="s">
        <v>41</v>
      </c>
      <c r="D93" s="701" t="s">
        <v>55</v>
      </c>
      <c r="E93" s="41">
        <v>3110</v>
      </c>
      <c r="F93" s="41">
        <v>1014</v>
      </c>
      <c r="G93" s="147" t="s">
        <v>86</v>
      </c>
      <c r="H93" s="6" t="s">
        <v>11</v>
      </c>
      <c r="I93" s="41">
        <v>1</v>
      </c>
      <c r="J93" s="42">
        <v>21449</v>
      </c>
      <c r="K93" s="152">
        <v>21449</v>
      </c>
      <c r="L93" s="110"/>
    </row>
    <row r="94" spans="1:12" customFormat="1" ht="21" customHeight="1">
      <c r="A94" s="39"/>
      <c r="B94" s="50"/>
      <c r="C94" s="40"/>
      <c r="D94" s="702"/>
      <c r="E94" s="41">
        <v>3110</v>
      </c>
      <c r="F94" s="41">
        <v>1014</v>
      </c>
      <c r="G94" s="147" t="s">
        <v>84</v>
      </c>
      <c r="H94" s="6" t="s">
        <v>11</v>
      </c>
      <c r="I94" s="41">
        <v>1</v>
      </c>
      <c r="J94" s="166">
        <v>15999</v>
      </c>
      <c r="K94" s="175">
        <v>15999</v>
      </c>
      <c r="L94" s="110"/>
    </row>
    <row r="95" spans="1:12" customFormat="1" ht="21" customHeight="1">
      <c r="A95" s="39"/>
      <c r="B95" s="50"/>
      <c r="C95" s="40"/>
      <c r="D95" s="702"/>
      <c r="E95" s="41">
        <v>3110</v>
      </c>
      <c r="F95" s="41">
        <v>1014</v>
      </c>
      <c r="G95" s="147" t="s">
        <v>85</v>
      </c>
      <c r="H95" s="6" t="s">
        <v>11</v>
      </c>
      <c r="I95" s="41">
        <v>5</v>
      </c>
      <c r="J95" s="166">
        <v>9221</v>
      </c>
      <c r="K95" s="175">
        <v>46105</v>
      </c>
      <c r="L95" s="110"/>
    </row>
    <row r="96" spans="1:12" customFormat="1" ht="21" customHeight="1">
      <c r="A96" s="39"/>
      <c r="B96" s="50"/>
      <c r="C96" s="40"/>
      <c r="D96" s="702"/>
      <c r="E96" s="41">
        <v>2210</v>
      </c>
      <c r="F96" s="41">
        <v>1113</v>
      </c>
      <c r="G96" s="147" t="s">
        <v>88</v>
      </c>
      <c r="H96" s="6" t="s">
        <v>11</v>
      </c>
      <c r="I96" s="41">
        <v>1</v>
      </c>
      <c r="J96" s="166">
        <v>5313</v>
      </c>
      <c r="K96" s="175">
        <v>5313</v>
      </c>
      <c r="L96" s="110"/>
    </row>
    <row r="97" spans="1:12" customFormat="1" ht="21" customHeight="1">
      <c r="A97" s="39"/>
      <c r="B97" s="50"/>
      <c r="C97" s="40"/>
      <c r="D97" s="703"/>
      <c r="E97" s="41">
        <v>2210</v>
      </c>
      <c r="F97" s="41">
        <v>1113</v>
      </c>
      <c r="G97" s="147" t="s">
        <v>87</v>
      </c>
      <c r="H97" s="35" t="s">
        <v>11</v>
      </c>
      <c r="I97" s="41">
        <v>8</v>
      </c>
      <c r="J97" s="45"/>
      <c r="K97" s="152">
        <f>2028+912</f>
        <v>2940</v>
      </c>
      <c r="L97" s="110"/>
    </row>
    <row r="98" spans="1:12" customFormat="1" ht="21" customHeight="1">
      <c r="A98" s="39"/>
      <c r="B98" s="50"/>
      <c r="C98" s="40"/>
      <c r="D98" s="177"/>
      <c r="E98" s="41">
        <v>2210</v>
      </c>
      <c r="F98" s="41">
        <v>1113</v>
      </c>
      <c r="G98" s="147" t="s">
        <v>89</v>
      </c>
      <c r="H98" s="35" t="s">
        <v>11</v>
      </c>
      <c r="I98" s="41">
        <v>1</v>
      </c>
      <c r="J98" s="45">
        <v>3100</v>
      </c>
      <c r="K98" s="152">
        <v>3100</v>
      </c>
      <c r="L98" s="110"/>
    </row>
    <row r="99" spans="1:12" customFormat="1" ht="21" customHeight="1">
      <c r="A99" s="39"/>
      <c r="B99" s="50"/>
      <c r="C99" s="73"/>
      <c r="D99" s="74"/>
      <c r="E99" s="74"/>
      <c r="F99" s="74"/>
      <c r="G99" s="75" t="s">
        <v>6</v>
      </c>
      <c r="H99" s="87"/>
      <c r="I99" s="74"/>
      <c r="J99" s="88"/>
      <c r="K99" s="77">
        <f>SUM(K93:K98)</f>
        <v>94906</v>
      </c>
      <c r="L99" s="109"/>
    </row>
    <row r="100" spans="1:12" customFormat="1" ht="21" customHeight="1">
      <c r="A100" s="49">
        <v>22</v>
      </c>
      <c r="B100" s="502"/>
      <c r="C100" s="52" t="s">
        <v>24</v>
      </c>
      <c r="D100" s="53" t="s">
        <v>5</v>
      </c>
      <c r="E100" s="53">
        <v>2210</v>
      </c>
      <c r="F100" s="53">
        <v>1113</v>
      </c>
      <c r="G100" s="158" t="s">
        <v>90</v>
      </c>
      <c r="H100" s="54" t="s">
        <v>11</v>
      </c>
      <c r="I100" s="53">
        <v>15</v>
      </c>
      <c r="J100" s="58">
        <v>320</v>
      </c>
      <c r="K100" s="59">
        <v>4800</v>
      </c>
      <c r="L100" s="112"/>
    </row>
    <row r="101" spans="1:12" customFormat="1" ht="21" customHeight="1">
      <c r="A101" s="49"/>
      <c r="B101" s="502"/>
      <c r="C101" s="52"/>
      <c r="D101" s="53"/>
      <c r="E101" s="53">
        <v>2210</v>
      </c>
      <c r="F101" s="53">
        <v>1113</v>
      </c>
      <c r="G101" s="53" t="s">
        <v>91</v>
      </c>
      <c r="H101" s="54" t="s">
        <v>11</v>
      </c>
      <c r="I101" s="53" t="s">
        <v>43</v>
      </c>
      <c r="J101" s="58">
        <v>1</v>
      </c>
      <c r="K101" s="59">
        <v>600.52</v>
      </c>
      <c r="L101" s="112"/>
    </row>
    <row r="102" spans="1:12" customFormat="1" ht="21" customHeight="1">
      <c r="A102" s="49"/>
      <c r="B102" s="502"/>
      <c r="C102" s="52"/>
      <c r="D102" s="53"/>
      <c r="E102" s="53">
        <v>2210</v>
      </c>
      <c r="F102" s="53">
        <v>1113</v>
      </c>
      <c r="G102" s="53" t="s">
        <v>92</v>
      </c>
      <c r="H102" s="54" t="s">
        <v>11</v>
      </c>
      <c r="I102" s="165">
        <v>1</v>
      </c>
      <c r="J102" s="166">
        <v>990</v>
      </c>
      <c r="K102" s="167">
        <v>990</v>
      </c>
      <c r="L102" s="112"/>
    </row>
    <row r="103" spans="1:12" customFormat="1" ht="21" customHeight="1">
      <c r="A103" s="49"/>
      <c r="B103" s="502"/>
      <c r="C103" s="52"/>
      <c r="D103" s="53"/>
      <c r="E103" s="53">
        <v>2210</v>
      </c>
      <c r="F103" s="53">
        <v>1113</v>
      </c>
      <c r="G103" s="53" t="s">
        <v>93</v>
      </c>
      <c r="H103" s="54" t="s">
        <v>43</v>
      </c>
      <c r="I103" s="165">
        <v>1</v>
      </c>
      <c r="J103" s="166">
        <v>3500</v>
      </c>
      <c r="K103" s="167">
        <v>3500</v>
      </c>
      <c r="L103" s="112"/>
    </row>
    <row r="104" spans="1:12" customFormat="1" ht="21" customHeight="1">
      <c r="A104" s="49"/>
      <c r="B104" s="502"/>
      <c r="C104" s="57"/>
      <c r="D104" s="53"/>
      <c r="E104" s="53">
        <v>2210</v>
      </c>
      <c r="F104" s="53">
        <v>1513</v>
      </c>
      <c r="G104" s="158" t="s">
        <v>100</v>
      </c>
      <c r="H104" s="54" t="s">
        <v>11</v>
      </c>
      <c r="I104" s="53">
        <v>2</v>
      </c>
      <c r="J104" s="58"/>
      <c r="K104" s="59">
        <v>7400</v>
      </c>
      <c r="L104" s="112"/>
    </row>
    <row r="105" spans="1:12" customFormat="1" ht="21" customHeight="1">
      <c r="A105" s="72"/>
      <c r="B105" s="505"/>
      <c r="C105" s="73"/>
      <c r="D105" s="74"/>
      <c r="E105" s="74"/>
      <c r="F105" s="74"/>
      <c r="G105" s="75" t="s">
        <v>6</v>
      </c>
      <c r="H105" s="75"/>
      <c r="I105" s="75"/>
      <c r="J105" s="76"/>
      <c r="K105" s="77">
        <f>SUM(K100:K104)</f>
        <v>17290.52</v>
      </c>
      <c r="L105" s="109"/>
    </row>
    <row r="106" spans="1:12" customFormat="1" ht="21" customHeight="1">
      <c r="A106" s="68"/>
      <c r="B106" s="508"/>
      <c r="C106" s="148"/>
      <c r="D106" s="149"/>
      <c r="E106" s="149"/>
      <c r="F106" s="149"/>
      <c r="G106" s="150" t="s">
        <v>44</v>
      </c>
      <c r="H106" s="69"/>
      <c r="I106" s="142"/>
      <c r="J106" s="70"/>
      <c r="K106" s="71">
        <f>K58+K64+K67+K73+K77+K81+K92+K99+K105</f>
        <v>381555.12000000005</v>
      </c>
      <c r="L106" s="115"/>
    </row>
    <row r="107" spans="1:12" s="1" customFormat="1" ht="21" customHeight="1">
      <c r="A107" s="39">
        <v>23</v>
      </c>
      <c r="B107" s="39"/>
      <c r="C107" s="60" t="s">
        <v>25</v>
      </c>
      <c r="D107" s="39" t="s">
        <v>5</v>
      </c>
      <c r="E107" s="39">
        <v>2210</v>
      </c>
      <c r="F107" s="39">
        <v>2213</v>
      </c>
      <c r="G107" s="39" t="s">
        <v>42</v>
      </c>
      <c r="H107" s="39" t="s">
        <v>43</v>
      </c>
      <c r="I107" s="39">
        <f>2700+2800</f>
        <v>5500</v>
      </c>
      <c r="J107" s="61"/>
      <c r="K107" s="43">
        <f>800+810</f>
        <v>1610</v>
      </c>
      <c r="L107" s="116"/>
    </row>
    <row r="108" spans="1:12" s="1" customFormat="1" ht="21" customHeight="1">
      <c r="A108" s="72"/>
      <c r="B108" s="72"/>
      <c r="C108" s="89"/>
      <c r="D108" s="89"/>
      <c r="E108" s="89"/>
      <c r="F108" s="89"/>
      <c r="G108" s="75" t="s">
        <v>6</v>
      </c>
      <c r="H108" s="75"/>
      <c r="I108" s="75"/>
      <c r="J108" s="76"/>
      <c r="K108" s="77">
        <f>SUM(K107)</f>
        <v>1610</v>
      </c>
      <c r="L108" s="117"/>
    </row>
    <row r="109" spans="1:12" customFormat="1" ht="21.75" customHeight="1" thickBot="1">
      <c r="A109" s="68"/>
      <c r="B109" s="509"/>
      <c r="C109" s="704" t="s">
        <v>94</v>
      </c>
      <c r="D109" s="705"/>
      <c r="E109" s="705"/>
      <c r="F109" s="705"/>
      <c r="G109" s="706"/>
      <c r="H109" s="91"/>
      <c r="I109" s="143"/>
      <c r="J109" s="92"/>
      <c r="K109" s="93">
        <f>K56+K106+K108</f>
        <v>581898.92000000004</v>
      </c>
      <c r="L109" s="102"/>
    </row>
    <row r="110" spans="1:12" s="1" customFormat="1" ht="21.75" customHeight="1">
      <c r="A110" s="180"/>
      <c r="B110" s="180"/>
      <c r="C110" s="181"/>
      <c r="D110" s="181"/>
      <c r="E110" s="181"/>
      <c r="F110" s="181"/>
      <c r="G110" s="181"/>
      <c r="H110" s="182"/>
      <c r="I110" s="181"/>
      <c r="J110" s="182"/>
      <c r="K110" s="183"/>
      <c r="L110" s="184"/>
    </row>
    <row r="111" spans="1:12" s="1" customFormat="1" ht="21.75" customHeight="1">
      <c r="A111" s="180"/>
      <c r="B111" s="180"/>
      <c r="C111" s="181"/>
      <c r="D111" s="181"/>
      <c r="E111" s="181"/>
      <c r="F111" s="181"/>
      <c r="G111" s="181"/>
      <c r="H111" s="182"/>
      <c r="I111" s="181"/>
      <c r="J111" s="182"/>
      <c r="K111" s="183"/>
      <c r="L111" s="184"/>
    </row>
    <row r="112" spans="1:12" customFormat="1" ht="18.75">
      <c r="A112" s="62"/>
      <c r="B112" s="62"/>
      <c r="C112" s="707" t="s">
        <v>45</v>
      </c>
      <c r="D112" s="707"/>
      <c r="E112" s="707"/>
      <c r="F112" s="63"/>
      <c r="G112" s="179"/>
      <c r="H112" s="63"/>
      <c r="I112" s="64"/>
      <c r="J112" s="63"/>
      <c r="K112" s="65"/>
      <c r="L112" s="118"/>
    </row>
    <row r="113" spans="1:12" customFormat="1" ht="18.75">
      <c r="A113" s="62"/>
      <c r="B113" s="62"/>
      <c r="C113" s="707" t="s">
        <v>46</v>
      </c>
      <c r="D113" s="707"/>
      <c r="E113" s="707"/>
      <c r="F113" s="707"/>
      <c r="G113" s="66"/>
      <c r="H113" s="63"/>
      <c r="I113" s="64"/>
      <c r="J113" s="63"/>
      <c r="K113" s="65"/>
      <c r="L113" s="118"/>
    </row>
    <row r="114" spans="1:12" ht="18.75">
      <c r="A114" s="25"/>
      <c r="B114" s="25"/>
      <c r="C114" s="26"/>
      <c r="D114" s="26"/>
      <c r="E114" s="26"/>
      <c r="F114" s="26"/>
      <c r="G114" s="26"/>
      <c r="H114" s="26"/>
      <c r="I114" s="26"/>
      <c r="J114" s="27"/>
      <c r="K114" s="26"/>
      <c r="L114" s="119"/>
    </row>
    <row r="115" spans="1:12" ht="18.75">
      <c r="A115" s="25"/>
      <c r="B115" s="25"/>
      <c r="C115" s="26"/>
      <c r="D115" s="26"/>
      <c r="E115" s="26"/>
      <c r="F115" s="26"/>
      <c r="G115" s="26"/>
      <c r="H115" s="26"/>
      <c r="I115" s="26"/>
      <c r="J115" s="27"/>
      <c r="K115" s="26"/>
      <c r="L115" s="119"/>
    </row>
    <row r="116" spans="1:12" ht="18.75">
      <c r="A116" s="25"/>
      <c r="B116" s="25"/>
      <c r="C116" s="26"/>
      <c r="D116" s="26"/>
      <c r="E116" s="26"/>
      <c r="F116" s="26"/>
      <c r="G116" s="26"/>
      <c r="H116" s="26"/>
      <c r="I116" s="26"/>
      <c r="J116" s="27"/>
      <c r="K116" s="26"/>
      <c r="L116" s="119"/>
    </row>
    <row r="117" spans="1:12" ht="18.75">
      <c r="A117" s="25"/>
      <c r="B117" s="25"/>
      <c r="C117" s="25"/>
      <c r="D117" s="25"/>
      <c r="E117" s="25"/>
      <c r="F117" s="25"/>
      <c r="G117" s="26"/>
      <c r="H117" s="25"/>
      <c r="I117" s="26"/>
      <c r="J117" s="30"/>
      <c r="K117" s="25"/>
      <c r="L117" s="120"/>
    </row>
    <row r="118" spans="1:12" ht="18.75">
      <c r="A118" s="25"/>
      <c r="B118" s="25"/>
      <c r="C118" s="25"/>
      <c r="D118" s="25"/>
      <c r="E118" s="25"/>
      <c r="F118" s="25"/>
      <c r="G118" s="26"/>
      <c r="H118" s="25"/>
      <c r="I118" s="26"/>
      <c r="J118" s="30"/>
      <c r="K118" s="25"/>
      <c r="L118" s="120"/>
    </row>
    <row r="119" spans="1:12" ht="18.75">
      <c r="A119" s="25"/>
      <c r="B119" s="25"/>
      <c r="C119" s="25"/>
      <c r="D119" s="25"/>
      <c r="E119" s="25"/>
      <c r="F119" s="25"/>
      <c r="G119" s="26"/>
      <c r="H119" s="25"/>
      <c r="I119" s="26"/>
      <c r="J119" s="30"/>
      <c r="K119" s="25"/>
      <c r="L119" s="120"/>
    </row>
    <row r="120" spans="1:12" ht="18.75">
      <c r="A120" s="24"/>
      <c r="B120" s="24"/>
      <c r="C120" s="24"/>
      <c r="D120" s="24"/>
      <c r="E120" s="24"/>
      <c r="F120" s="24"/>
      <c r="G120" s="144"/>
      <c r="H120" s="24"/>
      <c r="I120" s="144"/>
      <c r="J120" s="33"/>
      <c r="K120" s="24"/>
    </row>
    <row r="121" spans="1:12" ht="18.75">
      <c r="A121" s="24"/>
      <c r="B121" s="24"/>
      <c r="C121" s="24"/>
      <c r="D121" s="24"/>
      <c r="E121" s="24"/>
      <c r="F121" s="24"/>
      <c r="G121" s="144"/>
      <c r="H121" s="24"/>
      <c r="I121" s="144"/>
      <c r="J121" s="33"/>
      <c r="K121" s="24"/>
    </row>
    <row r="122" spans="1:12" ht="18.75">
      <c r="A122" s="24"/>
      <c r="B122" s="24"/>
      <c r="C122" s="24"/>
      <c r="D122" s="24"/>
      <c r="E122" s="24"/>
      <c r="F122" s="24"/>
      <c r="G122" s="144"/>
      <c r="H122" s="24"/>
      <c r="I122" s="144"/>
      <c r="J122" s="33"/>
      <c r="K122" s="24"/>
    </row>
    <row r="123" spans="1:12" ht="18.75">
      <c r="A123" s="24"/>
      <c r="B123" s="24"/>
      <c r="C123" s="24"/>
      <c r="D123" s="24"/>
      <c r="E123" s="24"/>
      <c r="F123" s="24"/>
      <c r="G123" s="144"/>
      <c r="H123" s="24"/>
      <c r="I123" s="144"/>
      <c r="J123" s="33"/>
      <c r="K123" s="24"/>
    </row>
    <row r="124" spans="1:12" ht="18.75">
      <c r="A124" s="24"/>
      <c r="B124" s="24"/>
      <c r="C124" s="24"/>
      <c r="D124" s="24"/>
      <c r="E124" s="24"/>
      <c r="F124" s="24"/>
      <c r="G124" s="144"/>
      <c r="H124" s="24"/>
      <c r="I124" s="144"/>
      <c r="J124" s="33"/>
      <c r="K124" s="24"/>
    </row>
    <row r="125" spans="1:12" ht="18.75">
      <c r="A125" s="24"/>
      <c r="B125" s="24"/>
      <c r="C125" s="24"/>
      <c r="D125" s="24"/>
      <c r="E125" s="24"/>
      <c r="F125" s="24"/>
      <c r="G125" s="144"/>
      <c r="H125" s="24"/>
      <c r="I125" s="144"/>
      <c r="J125" s="33"/>
      <c r="K125" s="24"/>
    </row>
    <row r="126" spans="1:12" ht="18.75">
      <c r="A126" s="24"/>
      <c r="B126" s="24"/>
      <c r="C126" s="24"/>
      <c r="D126" s="24"/>
      <c r="E126" s="24"/>
      <c r="F126" s="24"/>
      <c r="G126" s="144"/>
      <c r="H126" s="24"/>
      <c r="I126" s="144"/>
      <c r="J126" s="33"/>
      <c r="K126" s="24"/>
    </row>
    <row r="127" spans="1:12" ht="18.75">
      <c r="A127" s="24"/>
      <c r="B127" s="24"/>
      <c r="C127" s="24"/>
      <c r="D127" s="24"/>
      <c r="E127" s="24"/>
      <c r="F127" s="24"/>
      <c r="G127" s="144"/>
      <c r="H127" s="24"/>
      <c r="I127" s="144"/>
      <c r="J127" s="33"/>
      <c r="K127" s="24"/>
    </row>
    <row r="128" spans="1:12" ht="18.75">
      <c r="A128" s="24"/>
      <c r="B128" s="24"/>
      <c r="C128" s="24"/>
      <c r="D128" s="24"/>
      <c r="E128" s="24"/>
      <c r="F128" s="24"/>
      <c r="G128" s="144"/>
      <c r="H128" s="24"/>
      <c r="I128" s="144"/>
      <c r="J128" s="33"/>
      <c r="K128" s="24"/>
    </row>
    <row r="129" spans="1:11" ht="18.75">
      <c r="A129" s="24"/>
      <c r="B129" s="24"/>
      <c r="C129" s="24"/>
      <c r="D129" s="24"/>
      <c r="E129" s="24"/>
      <c r="F129" s="24"/>
      <c r="G129" s="144"/>
      <c r="H129" s="24"/>
      <c r="I129" s="144"/>
      <c r="J129" s="33"/>
      <c r="K129" s="24"/>
    </row>
    <row r="130" spans="1:11" ht="18.75">
      <c r="A130" s="24"/>
      <c r="B130" s="24"/>
      <c r="C130" s="24"/>
      <c r="D130" s="24"/>
      <c r="E130" s="24"/>
      <c r="F130" s="24"/>
      <c r="G130" s="144"/>
      <c r="H130" s="24"/>
      <c r="I130" s="144"/>
      <c r="J130" s="33"/>
      <c r="K130" s="24"/>
    </row>
    <row r="131" spans="1:11" ht="18.75">
      <c r="A131" s="24"/>
      <c r="B131" s="24"/>
      <c r="C131" s="24"/>
      <c r="D131" s="24"/>
      <c r="E131" s="24"/>
      <c r="F131" s="24"/>
      <c r="G131" s="144"/>
      <c r="H131" s="24"/>
      <c r="I131" s="144"/>
      <c r="J131" s="33"/>
      <c r="K131" s="24"/>
    </row>
    <row r="132" spans="1:11" ht="18.75">
      <c r="A132" s="24"/>
      <c r="B132" s="24"/>
      <c r="C132" s="24"/>
      <c r="D132" s="24"/>
      <c r="E132" s="24"/>
      <c r="F132" s="24"/>
      <c r="G132" s="144"/>
      <c r="H132" s="24"/>
      <c r="I132" s="144"/>
      <c r="J132" s="33"/>
      <c r="K132" s="24"/>
    </row>
    <row r="133" spans="1:11" ht="18.75">
      <c r="A133" s="24"/>
      <c r="B133" s="24"/>
      <c r="C133" s="24"/>
      <c r="D133" s="24"/>
      <c r="E133" s="24"/>
      <c r="F133" s="24"/>
      <c r="G133" s="144"/>
      <c r="H133" s="24"/>
      <c r="I133" s="144"/>
      <c r="J133" s="33"/>
      <c r="K133" s="24"/>
    </row>
    <row r="134" spans="1:11" ht="18.75">
      <c r="A134" s="24"/>
      <c r="B134" s="24"/>
      <c r="C134" s="24"/>
      <c r="D134" s="24"/>
      <c r="E134" s="24"/>
      <c r="F134" s="24"/>
      <c r="G134" s="144"/>
      <c r="H134" s="24"/>
      <c r="I134" s="144"/>
      <c r="J134" s="33"/>
      <c r="K134" s="24"/>
    </row>
    <row r="135" spans="1:11" ht="18.75">
      <c r="A135" s="24"/>
      <c r="B135" s="24"/>
      <c r="C135" s="24"/>
      <c r="D135" s="24"/>
      <c r="E135" s="24"/>
      <c r="F135" s="24"/>
      <c r="G135" s="144"/>
      <c r="H135" s="24"/>
      <c r="I135" s="144"/>
      <c r="J135" s="33"/>
      <c r="K135" s="24"/>
    </row>
    <row r="136" spans="1:11" ht="18.75">
      <c r="A136" s="24"/>
      <c r="B136" s="24"/>
      <c r="C136" s="24"/>
      <c r="D136" s="24"/>
      <c r="E136" s="24"/>
      <c r="F136" s="24"/>
      <c r="G136" s="144"/>
      <c r="H136" s="24"/>
      <c r="I136" s="144"/>
      <c r="J136" s="33"/>
      <c r="K136" s="24"/>
    </row>
  </sheetData>
  <mergeCells count="10">
    <mergeCell ref="D93:D97"/>
    <mergeCell ref="C109:G109"/>
    <mergeCell ref="C112:E112"/>
    <mergeCell ref="C113:F113"/>
    <mergeCell ref="A1:K1"/>
    <mergeCell ref="A56:J56"/>
    <mergeCell ref="D59:D63"/>
    <mergeCell ref="D82:D91"/>
    <mergeCell ref="D3:D7"/>
    <mergeCell ref="D9:D13"/>
  </mergeCells>
  <phoneticPr fontId="2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 enableFormatConditionsCalculation="0">
    <tabColor indexed="14"/>
  </sheetPr>
  <dimension ref="A1:M65"/>
  <sheetViews>
    <sheetView tabSelected="1" view="pageBreakPreview" zoomScale="60" zoomScaleNormal="75" workbookViewId="0">
      <selection sqref="A1:J1"/>
    </sheetView>
  </sheetViews>
  <sheetFormatPr defaultRowHeight="15.75"/>
  <cols>
    <col min="1" max="1" width="6.7109375" style="5" customWidth="1"/>
    <col min="2" max="2" width="14.42578125" style="5" customWidth="1"/>
    <col min="3" max="3" width="19.140625" style="5" customWidth="1"/>
    <col min="4" max="4" width="8.140625" style="5" customWidth="1"/>
    <col min="5" max="5" width="10.5703125" style="5" customWidth="1"/>
    <col min="6" max="6" width="60.85546875" style="145" customWidth="1"/>
    <col min="7" max="7" width="13.140625" style="5" customWidth="1"/>
    <col min="8" max="8" width="12.7109375" style="145" customWidth="1"/>
    <col min="9" max="9" width="14.140625" style="29" customWidth="1"/>
    <col min="10" max="10" width="21.140625" style="5" customWidth="1"/>
    <col min="11" max="11" width="11.42578125" style="121" customWidth="1"/>
    <col min="12" max="12" width="10.7109375" style="5" bestFit="1" customWidth="1"/>
    <col min="13" max="16384" width="9.140625" style="5"/>
  </cols>
  <sheetData>
    <row r="1" spans="1:13" ht="29.25" customHeight="1" thickBot="1">
      <c r="A1" s="692" t="s">
        <v>634</v>
      </c>
      <c r="B1" s="692"/>
      <c r="C1" s="692"/>
      <c r="D1" s="692"/>
      <c r="E1" s="692"/>
      <c r="F1" s="692"/>
      <c r="G1" s="692"/>
      <c r="H1" s="692"/>
      <c r="I1" s="692"/>
      <c r="J1" s="692"/>
      <c r="K1" s="103"/>
    </row>
    <row r="2" spans="1:13" ht="40.5" customHeight="1" thickBot="1">
      <c r="A2" s="185" t="s">
        <v>0</v>
      </c>
      <c r="B2" s="2" t="s">
        <v>1</v>
      </c>
      <c r="C2" s="2" t="s">
        <v>96</v>
      </c>
      <c r="D2" s="2" t="s">
        <v>2</v>
      </c>
      <c r="E2" s="2" t="s">
        <v>95</v>
      </c>
      <c r="F2" s="2" t="s">
        <v>3</v>
      </c>
      <c r="G2" s="3" t="s">
        <v>97</v>
      </c>
      <c r="H2" s="2" t="s">
        <v>4</v>
      </c>
      <c r="I2" s="4" t="s">
        <v>98</v>
      </c>
      <c r="J2" s="2" t="s">
        <v>99</v>
      </c>
      <c r="K2" s="94"/>
    </row>
    <row r="3" spans="1:13" ht="21" customHeight="1">
      <c r="A3" s="31">
        <v>1</v>
      </c>
      <c r="B3" s="31" t="s">
        <v>104</v>
      </c>
      <c r="C3" s="31" t="s">
        <v>5</v>
      </c>
      <c r="D3" s="31">
        <v>2210</v>
      </c>
      <c r="E3" s="31">
        <v>1114</v>
      </c>
      <c r="F3" s="188" t="s">
        <v>628</v>
      </c>
      <c r="G3" s="31" t="s">
        <v>43</v>
      </c>
      <c r="H3" s="35">
        <v>20</v>
      </c>
      <c r="I3" s="32"/>
      <c r="J3" s="32">
        <v>1400</v>
      </c>
      <c r="K3" s="100"/>
    </row>
    <row r="4" spans="1:13" ht="21" customHeight="1">
      <c r="A4" s="127"/>
      <c r="B4" s="127"/>
      <c r="C4" s="127"/>
      <c r="D4" s="127"/>
      <c r="E4" s="127"/>
      <c r="F4" s="192" t="s">
        <v>106</v>
      </c>
      <c r="G4" s="127"/>
      <c r="H4" s="190"/>
      <c r="I4" s="129"/>
      <c r="J4" s="130">
        <f>SUM(J3:J3)</f>
        <v>1400</v>
      </c>
      <c r="K4" s="191"/>
    </row>
    <row r="5" spans="1:13" ht="21" customHeight="1">
      <c r="A5" s="31">
        <v>2</v>
      </c>
      <c r="B5" s="31" t="s">
        <v>109</v>
      </c>
      <c r="C5" s="31" t="s">
        <v>5</v>
      </c>
      <c r="D5" s="31">
        <v>2210</v>
      </c>
      <c r="E5" s="31" t="s">
        <v>15</v>
      </c>
      <c r="F5" s="188" t="s">
        <v>107</v>
      </c>
      <c r="G5" s="31" t="s">
        <v>43</v>
      </c>
      <c r="H5" s="35"/>
      <c r="I5" s="32"/>
      <c r="J5" s="186">
        <f>313.6+39.2</f>
        <v>352.8</v>
      </c>
      <c r="K5" s="100"/>
    </row>
    <row r="6" spans="1:13" ht="21" customHeight="1">
      <c r="A6" s="31"/>
      <c r="B6" s="31"/>
      <c r="C6" s="31"/>
      <c r="D6" s="31">
        <v>2210</v>
      </c>
      <c r="E6" s="31" t="s">
        <v>19</v>
      </c>
      <c r="F6" s="188" t="s">
        <v>208</v>
      </c>
      <c r="G6" s="31"/>
      <c r="H6" s="35"/>
      <c r="I6" s="32"/>
      <c r="J6" s="186">
        <v>76</v>
      </c>
      <c r="K6" s="100"/>
    </row>
    <row r="7" spans="1:13" ht="16.5" customHeight="1">
      <c r="A7" s="127"/>
      <c r="B7" s="127"/>
      <c r="C7" s="127"/>
      <c r="D7" s="127"/>
      <c r="E7" s="127"/>
      <c r="F7" s="192" t="s">
        <v>106</v>
      </c>
      <c r="G7" s="127"/>
      <c r="H7" s="190"/>
      <c r="I7" s="129"/>
      <c r="J7" s="130">
        <f>SUM(J5:J6)</f>
        <v>428.8</v>
      </c>
      <c r="K7" s="191"/>
      <c r="M7" s="29"/>
    </row>
    <row r="8" spans="1:13" ht="21" customHeight="1">
      <c r="A8" s="7">
        <v>3</v>
      </c>
      <c r="B8" s="7" t="s">
        <v>9</v>
      </c>
      <c r="C8" s="7" t="s">
        <v>5</v>
      </c>
      <c r="D8" s="7">
        <v>2210</v>
      </c>
      <c r="E8" s="7" t="s">
        <v>19</v>
      </c>
      <c r="F8" s="7" t="s">
        <v>113</v>
      </c>
      <c r="G8" s="7" t="s">
        <v>11</v>
      </c>
      <c r="H8" s="19">
        <v>24</v>
      </c>
      <c r="I8" s="9">
        <v>4</v>
      </c>
      <c r="J8" s="9">
        <v>96</v>
      </c>
      <c r="K8" s="95"/>
    </row>
    <row r="9" spans="1:13" s="16" customFormat="1" ht="21" customHeight="1">
      <c r="A9" s="12"/>
      <c r="B9" s="12"/>
      <c r="C9" s="12"/>
      <c r="D9" s="12"/>
      <c r="E9" s="12"/>
      <c r="F9" s="15" t="s">
        <v>6</v>
      </c>
      <c r="G9" s="12"/>
      <c r="H9" s="20"/>
      <c r="I9" s="14"/>
      <c r="J9" s="36">
        <f>SUM(J8:J8)</f>
        <v>96</v>
      </c>
      <c r="K9" s="107"/>
    </row>
    <row r="10" spans="1:13" s="16" customFormat="1" ht="21" customHeight="1">
      <c r="A10" s="31">
        <v>4</v>
      </c>
      <c r="B10" s="31" t="s">
        <v>33</v>
      </c>
      <c r="C10" s="31" t="s">
        <v>5</v>
      </c>
      <c r="D10" s="31">
        <v>2210</v>
      </c>
      <c r="E10" s="31" t="s">
        <v>19</v>
      </c>
      <c r="F10" s="31" t="s">
        <v>211</v>
      </c>
      <c r="G10" s="31" t="s">
        <v>43</v>
      </c>
      <c r="H10" s="163"/>
      <c r="I10" s="162"/>
      <c r="J10" s="162">
        <v>246.13</v>
      </c>
      <c r="K10" s="199"/>
    </row>
    <row r="11" spans="1:13" s="16" customFormat="1" ht="21" customHeight="1">
      <c r="A11" s="31"/>
      <c r="B11" s="31"/>
      <c r="C11" s="31"/>
      <c r="D11" s="31">
        <v>2210</v>
      </c>
      <c r="E11" s="31" t="s">
        <v>19</v>
      </c>
      <c r="F11" s="31" t="s">
        <v>629</v>
      </c>
      <c r="G11" s="31" t="s">
        <v>144</v>
      </c>
      <c r="H11" s="163">
        <v>1</v>
      </c>
      <c r="I11" s="162"/>
      <c r="J11" s="162">
        <v>121.36</v>
      </c>
      <c r="K11" s="199"/>
    </row>
    <row r="12" spans="1:13" s="16" customFormat="1" ht="21" customHeight="1">
      <c r="A12" s="31"/>
      <c r="B12" s="31"/>
      <c r="C12" s="31"/>
      <c r="D12" s="31">
        <v>2210</v>
      </c>
      <c r="E12" s="31" t="s">
        <v>15</v>
      </c>
      <c r="F12" s="31" t="s">
        <v>212</v>
      </c>
      <c r="G12" s="31" t="s">
        <v>43</v>
      </c>
      <c r="H12" s="163"/>
      <c r="I12" s="162"/>
      <c r="J12" s="162">
        <v>533.94000000000005</v>
      </c>
      <c r="K12" s="199"/>
    </row>
    <row r="13" spans="1:13" s="16" customFormat="1" ht="21" customHeight="1">
      <c r="A13" s="127"/>
      <c r="B13" s="127"/>
      <c r="C13" s="127"/>
      <c r="D13" s="127"/>
      <c r="E13" s="127"/>
      <c r="F13" s="126" t="s">
        <v>6</v>
      </c>
      <c r="G13" s="200"/>
      <c r="H13" s="201"/>
      <c r="I13" s="202"/>
      <c r="J13" s="203">
        <f>SUM(J10:J12)</f>
        <v>901.43000000000006</v>
      </c>
      <c r="K13" s="204"/>
    </row>
    <row r="14" spans="1:13" s="23" customFormat="1" ht="21" customHeight="1">
      <c r="A14" s="708" t="s">
        <v>214</v>
      </c>
      <c r="B14" s="708"/>
      <c r="C14" s="708"/>
      <c r="D14" s="708"/>
      <c r="E14" s="708"/>
      <c r="F14" s="708"/>
      <c r="G14" s="708"/>
      <c r="H14" s="708"/>
      <c r="I14" s="708"/>
      <c r="J14" s="211">
        <f>J4+J7+J9+J13</f>
        <v>2826.23</v>
      </c>
      <c r="K14" s="212"/>
      <c r="L14" s="38"/>
    </row>
    <row r="15" spans="1:13" s="23" customFormat="1" ht="21" customHeight="1">
      <c r="A15" s="213">
        <v>5</v>
      </c>
      <c r="B15" s="195" t="s">
        <v>215</v>
      </c>
      <c r="C15" s="196" t="s">
        <v>5</v>
      </c>
      <c r="D15" s="196">
        <v>2220</v>
      </c>
      <c r="E15" s="196">
        <v>1512</v>
      </c>
      <c r="F15" s="214" t="s">
        <v>216</v>
      </c>
      <c r="G15" s="196" t="s">
        <v>43</v>
      </c>
      <c r="H15" s="196">
        <v>2</v>
      </c>
      <c r="I15" s="196">
        <v>360</v>
      </c>
      <c r="J15" s="32">
        <v>720</v>
      </c>
      <c r="K15" s="215"/>
      <c r="L15" s="38"/>
    </row>
    <row r="16" spans="1:13" s="23" customFormat="1" ht="21" customHeight="1" thickBot="1">
      <c r="A16" s="198"/>
      <c r="B16" s="216"/>
      <c r="C16" s="198"/>
      <c r="D16" s="198"/>
      <c r="E16" s="198"/>
      <c r="F16" s="217" t="s">
        <v>6</v>
      </c>
      <c r="G16" s="198"/>
      <c r="H16" s="198"/>
      <c r="I16" s="198"/>
      <c r="J16" s="36">
        <f>SUM(J15)</f>
        <v>720</v>
      </c>
      <c r="K16" s="218"/>
      <c r="L16" s="38"/>
    </row>
    <row r="17" spans="1:13" customFormat="1" ht="21" customHeight="1">
      <c r="A17" s="49">
        <v>6</v>
      </c>
      <c r="B17" s="40" t="s">
        <v>217</v>
      </c>
      <c r="C17" s="46" t="s">
        <v>5</v>
      </c>
      <c r="D17" s="45">
        <v>2210</v>
      </c>
      <c r="E17" s="41">
        <v>1113</v>
      </c>
      <c r="F17" s="41" t="s">
        <v>219</v>
      </c>
      <c r="G17" s="41" t="s">
        <v>43</v>
      </c>
      <c r="H17" s="41">
        <f>2+1+1+2+1</f>
        <v>7</v>
      </c>
      <c r="I17" s="42"/>
      <c r="J17" s="43">
        <f>6000+3000+3000+2500+850</f>
        <v>15350</v>
      </c>
      <c r="K17" s="220"/>
    </row>
    <row r="18" spans="1:13" customFormat="1" ht="21" customHeight="1">
      <c r="A18" s="49"/>
      <c r="B18" s="40"/>
      <c r="C18" s="46"/>
      <c r="D18" s="45">
        <v>2210</v>
      </c>
      <c r="E18" s="41">
        <v>1113</v>
      </c>
      <c r="F18" s="41" t="s">
        <v>218</v>
      </c>
      <c r="G18" s="41" t="s">
        <v>43</v>
      </c>
      <c r="H18" s="41">
        <f>2+1+2+1</f>
        <v>6</v>
      </c>
      <c r="I18" s="42"/>
      <c r="J18" s="43">
        <f>1680+650+1696+840</f>
        <v>4866</v>
      </c>
      <c r="K18" s="220"/>
    </row>
    <row r="19" spans="1:13" customFormat="1" ht="21" customHeight="1">
      <c r="A19" s="49"/>
      <c r="B19" s="40"/>
      <c r="C19" s="46"/>
      <c r="D19" s="45">
        <v>2210</v>
      </c>
      <c r="E19" s="41">
        <v>1113</v>
      </c>
      <c r="F19" s="41" t="s">
        <v>510</v>
      </c>
      <c r="G19" s="41" t="s">
        <v>43</v>
      </c>
      <c r="H19" s="41">
        <v>1</v>
      </c>
      <c r="I19" s="42"/>
      <c r="J19" s="43">
        <v>1400</v>
      </c>
      <c r="K19" s="220"/>
    </row>
    <row r="20" spans="1:13" customFormat="1" ht="21" customHeight="1">
      <c r="A20" s="49"/>
      <c r="B20" s="40"/>
      <c r="C20" s="46"/>
      <c r="D20" s="45">
        <v>2210</v>
      </c>
      <c r="E20" s="41" t="s">
        <v>15</v>
      </c>
      <c r="F20" s="41" t="s">
        <v>279</v>
      </c>
      <c r="G20" s="41" t="s">
        <v>43</v>
      </c>
      <c r="H20" s="41">
        <v>1</v>
      </c>
      <c r="I20" s="42"/>
      <c r="J20" s="43">
        <v>3500</v>
      </c>
      <c r="K20" s="220"/>
    </row>
    <row r="21" spans="1:13" customFormat="1" ht="21" customHeight="1">
      <c r="A21" s="49"/>
      <c r="B21" s="40"/>
      <c r="C21" s="46"/>
      <c r="D21" s="45">
        <v>2220</v>
      </c>
      <c r="E21" s="41">
        <v>1512</v>
      </c>
      <c r="F21" s="41" t="s">
        <v>192</v>
      </c>
      <c r="G21" s="41" t="s">
        <v>43</v>
      </c>
      <c r="H21" s="41">
        <v>4</v>
      </c>
      <c r="I21" s="42"/>
      <c r="J21" s="43">
        <v>1140</v>
      </c>
      <c r="K21" s="220"/>
    </row>
    <row r="22" spans="1:13" customFormat="1" ht="21" customHeight="1">
      <c r="A22" s="72"/>
      <c r="B22" s="74"/>
      <c r="C22" s="153"/>
      <c r="D22" s="87"/>
      <c r="E22" s="74"/>
      <c r="F22" s="74" t="s">
        <v>6</v>
      </c>
      <c r="G22" s="74"/>
      <c r="H22" s="74"/>
      <c r="I22" s="88"/>
      <c r="J22" s="244">
        <f>SUM(J17:J21)</f>
        <v>26256</v>
      </c>
      <c r="K22" s="221"/>
    </row>
    <row r="23" spans="1:13" customFormat="1" ht="21" customHeight="1">
      <c r="A23" s="49">
        <v>7</v>
      </c>
      <c r="B23" s="40" t="s">
        <v>172</v>
      </c>
      <c r="C23" s="709" t="s">
        <v>5</v>
      </c>
      <c r="D23" s="45">
        <v>2210</v>
      </c>
      <c r="E23" s="41">
        <v>1113</v>
      </c>
      <c r="F23" s="41" t="s">
        <v>53</v>
      </c>
      <c r="G23" s="41" t="s">
        <v>11</v>
      </c>
      <c r="H23" s="41">
        <v>2</v>
      </c>
      <c r="I23" s="42"/>
      <c r="J23" s="43">
        <v>3438</v>
      </c>
      <c r="K23" s="222"/>
    </row>
    <row r="24" spans="1:13" customFormat="1" ht="21" customHeight="1">
      <c r="A24" s="49"/>
      <c r="B24" s="40"/>
      <c r="C24" s="697"/>
      <c r="D24" s="45">
        <v>2210</v>
      </c>
      <c r="E24" s="41">
        <v>1113</v>
      </c>
      <c r="F24" s="41" t="s">
        <v>630</v>
      </c>
      <c r="G24" s="41" t="s">
        <v>43</v>
      </c>
      <c r="H24" s="41">
        <v>1</v>
      </c>
      <c r="I24" s="42"/>
      <c r="J24" s="43">
        <v>3200</v>
      </c>
      <c r="K24" s="222"/>
      <c r="M24" s="160"/>
    </row>
    <row r="25" spans="1:13" customFormat="1" ht="21" customHeight="1">
      <c r="A25" s="72"/>
      <c r="B25" s="78"/>
      <c r="C25" s="72"/>
      <c r="D25" s="78"/>
      <c r="E25" s="78"/>
      <c r="F25" s="79" t="s">
        <v>6</v>
      </c>
      <c r="G25" s="80"/>
      <c r="H25" s="141"/>
      <c r="I25" s="81"/>
      <c r="J25" s="77">
        <f>SUM(J23:J24)</f>
        <v>6638</v>
      </c>
      <c r="K25" s="223"/>
    </row>
    <row r="26" spans="1:13" customFormat="1" ht="21" customHeight="1">
      <c r="A26" s="7">
        <v>8</v>
      </c>
      <c r="B26" s="225" t="s">
        <v>292</v>
      </c>
      <c r="C26" s="226" t="s">
        <v>5</v>
      </c>
      <c r="D26" s="10">
        <v>2210</v>
      </c>
      <c r="E26" s="10">
        <v>1113</v>
      </c>
      <c r="F26" s="10" t="s">
        <v>275</v>
      </c>
      <c r="G26" s="10" t="s">
        <v>43</v>
      </c>
      <c r="H26" s="10">
        <v>2</v>
      </c>
      <c r="I26" s="9"/>
      <c r="J26" s="243">
        <f>5800+5930</f>
        <v>11730</v>
      </c>
      <c r="K26" s="228"/>
    </row>
    <row r="27" spans="1:13" customFormat="1" ht="21" customHeight="1">
      <c r="A27" s="7"/>
      <c r="B27" s="225"/>
      <c r="C27" s="226"/>
      <c r="D27" s="10">
        <v>2210</v>
      </c>
      <c r="E27" s="10">
        <v>1113</v>
      </c>
      <c r="F27" s="10" t="s">
        <v>219</v>
      </c>
      <c r="G27" s="10" t="s">
        <v>43</v>
      </c>
      <c r="H27" s="10">
        <v>1</v>
      </c>
      <c r="I27" s="9"/>
      <c r="J27" s="243">
        <v>4520</v>
      </c>
      <c r="K27" s="228"/>
    </row>
    <row r="28" spans="1:13" customFormat="1" ht="21" customHeight="1">
      <c r="A28" s="7"/>
      <c r="B28" s="225"/>
      <c r="C28" s="226"/>
      <c r="D28" s="10">
        <v>2210</v>
      </c>
      <c r="E28" s="10">
        <v>1113</v>
      </c>
      <c r="F28" s="10" t="s">
        <v>53</v>
      </c>
      <c r="G28" s="10" t="s">
        <v>43</v>
      </c>
      <c r="H28" s="10">
        <v>4</v>
      </c>
      <c r="I28" s="9"/>
      <c r="J28" s="243">
        <f>2240+2720</f>
        <v>4960</v>
      </c>
      <c r="K28" s="228"/>
    </row>
    <row r="29" spans="1:13" customFormat="1" ht="21" customHeight="1">
      <c r="A29" s="224"/>
      <c r="B29" s="230"/>
      <c r="C29" s="231"/>
      <c r="D29" s="231"/>
      <c r="E29" s="231"/>
      <c r="F29" s="79" t="s">
        <v>6</v>
      </c>
      <c r="G29" s="83"/>
      <c r="H29" s="84"/>
      <c r="I29" s="85"/>
      <c r="J29" s="244">
        <f>SUM(J26:J28)</f>
        <v>21210</v>
      </c>
      <c r="K29" s="232"/>
    </row>
    <row r="30" spans="1:13" customFormat="1" ht="21" customHeight="1">
      <c r="A30" s="146">
        <v>9</v>
      </c>
      <c r="B30" s="233" t="s">
        <v>158</v>
      </c>
      <c r="C30" s="147" t="s">
        <v>5</v>
      </c>
      <c r="D30" s="147">
        <v>2210</v>
      </c>
      <c r="E30" s="147" t="s">
        <v>15</v>
      </c>
      <c r="F30" s="146" t="s">
        <v>579</v>
      </c>
      <c r="G30" s="35" t="s">
        <v>43</v>
      </c>
      <c r="H30" s="147">
        <v>10</v>
      </c>
      <c r="I30" s="140"/>
      <c r="J30" s="152">
        <v>150</v>
      </c>
      <c r="K30" s="199"/>
    </row>
    <row r="31" spans="1:13" customFormat="1" ht="21" customHeight="1">
      <c r="A31" s="146"/>
      <c r="B31" s="233"/>
      <c r="C31" s="147"/>
      <c r="D31" s="147">
        <v>2210</v>
      </c>
      <c r="E31" s="147">
        <v>1518</v>
      </c>
      <c r="F31" s="146" t="s">
        <v>234</v>
      </c>
      <c r="G31" s="35" t="s">
        <v>13</v>
      </c>
      <c r="H31" s="147">
        <v>2</v>
      </c>
      <c r="I31" s="140"/>
      <c r="J31" s="152">
        <v>17.3</v>
      </c>
      <c r="K31" s="199"/>
    </row>
    <row r="32" spans="1:13" customFormat="1" ht="21" customHeight="1">
      <c r="A32" s="72"/>
      <c r="B32" s="73"/>
      <c r="C32" s="74"/>
      <c r="D32" s="74"/>
      <c r="E32" s="74"/>
      <c r="F32" s="79" t="s">
        <v>6</v>
      </c>
      <c r="G32" s="83"/>
      <c r="H32" s="84"/>
      <c r="I32" s="85"/>
      <c r="J32" s="86">
        <f>SUM(J30:J31)</f>
        <v>167.3</v>
      </c>
      <c r="K32" s="236"/>
    </row>
    <row r="33" spans="1:11" customFormat="1" ht="21" customHeight="1">
      <c r="A33" s="68"/>
      <c r="B33" s="148"/>
      <c r="C33" s="149"/>
      <c r="D33" s="149"/>
      <c r="E33" s="149"/>
      <c r="F33" s="150" t="s">
        <v>44</v>
      </c>
      <c r="G33" s="69"/>
      <c r="H33" s="142"/>
      <c r="I33" s="70"/>
      <c r="J33" s="71">
        <f>J32+J29+J25+J22+J16</f>
        <v>54991.3</v>
      </c>
      <c r="K33" s="115"/>
    </row>
    <row r="34" spans="1:11" s="1" customFormat="1" ht="21" customHeight="1">
      <c r="A34" s="39">
        <v>10</v>
      </c>
      <c r="B34" s="60" t="s">
        <v>631</v>
      </c>
      <c r="C34" s="39" t="s">
        <v>5</v>
      </c>
      <c r="D34" s="39">
        <v>2210</v>
      </c>
      <c r="E34" s="39" t="s">
        <v>19</v>
      </c>
      <c r="F34" s="39" t="s">
        <v>246</v>
      </c>
      <c r="G34" s="39" t="s">
        <v>43</v>
      </c>
      <c r="H34" s="39">
        <v>6</v>
      </c>
      <c r="I34" s="61"/>
      <c r="J34" s="43">
        <v>4500</v>
      </c>
      <c r="K34" s="116"/>
    </row>
    <row r="35" spans="1:11" s="1" customFormat="1" ht="21" customHeight="1">
      <c r="A35" s="39"/>
      <c r="B35" s="60"/>
      <c r="C35" s="39"/>
      <c r="D35" s="39">
        <v>2210</v>
      </c>
      <c r="E35" s="39" t="s">
        <v>15</v>
      </c>
      <c r="F35" s="39" t="s">
        <v>632</v>
      </c>
      <c r="G35" s="39"/>
      <c r="H35" s="39"/>
      <c r="I35" s="61"/>
      <c r="J35" s="43">
        <v>62</v>
      </c>
      <c r="K35" s="116"/>
    </row>
    <row r="36" spans="1:11" s="1" customFormat="1" ht="21" customHeight="1">
      <c r="A36" s="39"/>
      <c r="B36" s="60"/>
      <c r="C36" s="39"/>
      <c r="D36" s="39">
        <v>2210</v>
      </c>
      <c r="E36" s="39">
        <v>1113</v>
      </c>
      <c r="F36" s="39" t="s">
        <v>633</v>
      </c>
      <c r="G36" s="39" t="s">
        <v>43</v>
      </c>
      <c r="H36" s="39">
        <v>15</v>
      </c>
      <c r="I36" s="61"/>
      <c r="J36" s="43">
        <v>7500</v>
      </c>
      <c r="K36" s="116"/>
    </row>
    <row r="37" spans="1:11" s="1" customFormat="1" ht="21" customHeight="1">
      <c r="A37" s="72"/>
      <c r="B37" s="89"/>
      <c r="C37" s="89"/>
      <c r="D37" s="89"/>
      <c r="E37" s="89"/>
      <c r="F37" s="75" t="s">
        <v>6</v>
      </c>
      <c r="G37" s="75"/>
      <c r="H37" s="75"/>
      <c r="I37" s="76"/>
      <c r="J37" s="77">
        <f>SUM(J34:J36)</f>
        <v>12062</v>
      </c>
      <c r="K37" s="117"/>
    </row>
    <row r="38" spans="1:11" customFormat="1" ht="21.75" customHeight="1" thickBot="1">
      <c r="A38" s="68"/>
      <c r="B38" s="704" t="s">
        <v>223</v>
      </c>
      <c r="C38" s="705"/>
      <c r="D38" s="705"/>
      <c r="E38" s="705"/>
      <c r="F38" s="706"/>
      <c r="G38" s="91"/>
      <c r="H38" s="143"/>
      <c r="I38" s="92"/>
      <c r="J38" s="93">
        <f>J33+J14+J37</f>
        <v>69879.53</v>
      </c>
      <c r="K38" s="102"/>
    </row>
    <row r="39" spans="1:11" s="1" customFormat="1" ht="21.75" customHeight="1">
      <c r="A39" s="180"/>
      <c r="B39" s="181"/>
      <c r="C39" s="181"/>
      <c r="D39" s="181"/>
      <c r="E39" s="181"/>
      <c r="F39" s="181"/>
      <c r="G39" s="182"/>
      <c r="H39" s="181"/>
      <c r="I39" s="182"/>
      <c r="J39" s="183"/>
      <c r="K39" s="184"/>
    </row>
    <row r="40" spans="1:11" s="1" customFormat="1" ht="21.75" customHeight="1">
      <c r="A40" s="180"/>
      <c r="B40" s="181"/>
      <c r="C40" s="181"/>
      <c r="D40" s="181"/>
      <c r="E40" s="181"/>
      <c r="F40" s="181"/>
      <c r="G40" s="182"/>
      <c r="H40" s="181"/>
      <c r="I40" s="182"/>
      <c r="J40" s="183"/>
      <c r="K40" s="184"/>
    </row>
    <row r="41" spans="1:11" customFormat="1" ht="18.75">
      <c r="A41" s="62"/>
      <c r="B41" s="707" t="s">
        <v>45</v>
      </c>
      <c r="C41" s="707"/>
      <c r="D41" s="707"/>
      <c r="E41" s="63"/>
      <c r="F41" s="179"/>
      <c r="G41" s="63"/>
      <c r="H41" s="64"/>
      <c r="I41" s="63"/>
      <c r="J41" s="65"/>
      <c r="K41" s="118"/>
    </row>
    <row r="42" spans="1:11" customFormat="1" ht="18.75">
      <c r="A42" s="62"/>
      <c r="B42" s="707" t="s">
        <v>46</v>
      </c>
      <c r="C42" s="707"/>
      <c r="D42" s="707"/>
      <c r="E42" s="707"/>
      <c r="F42" s="66"/>
      <c r="G42" s="63"/>
      <c r="H42" s="64"/>
      <c r="I42" s="63"/>
      <c r="J42" s="65"/>
      <c r="K42" s="118"/>
    </row>
    <row r="43" spans="1:11" ht="18.75">
      <c r="A43" s="25"/>
      <c r="B43" s="26"/>
      <c r="C43" s="26"/>
      <c r="D43" s="26"/>
      <c r="E43" s="26"/>
      <c r="F43" s="26"/>
      <c r="G43" s="26"/>
      <c r="H43" s="26"/>
      <c r="I43" s="27"/>
      <c r="J43" s="26"/>
      <c r="K43" s="119"/>
    </row>
    <row r="44" spans="1:11" ht="18.75">
      <c r="A44" s="25"/>
      <c r="B44" s="26"/>
      <c r="C44" s="26"/>
      <c r="D44" s="26"/>
      <c r="E44" s="26"/>
      <c r="F44" s="26"/>
      <c r="G44" s="26"/>
      <c r="H44" s="26"/>
      <c r="I44" s="27"/>
      <c r="J44" s="26"/>
      <c r="K44" s="119"/>
    </row>
    <row r="45" spans="1:11" ht="18.75">
      <c r="A45" s="25"/>
      <c r="B45" s="26"/>
      <c r="C45" s="26"/>
      <c r="D45" s="26"/>
      <c r="E45" s="26"/>
      <c r="F45" s="26"/>
      <c r="G45" s="26"/>
      <c r="H45" s="26"/>
      <c r="I45" s="27"/>
      <c r="J45" s="26"/>
      <c r="K45" s="119"/>
    </row>
    <row r="46" spans="1:11" ht="18.75">
      <c r="A46" s="25"/>
      <c r="B46" s="25"/>
      <c r="C46" s="25"/>
      <c r="D46" s="25"/>
      <c r="E46" s="25"/>
      <c r="F46" s="26"/>
      <c r="G46" s="25"/>
      <c r="H46" s="26"/>
      <c r="I46" s="30"/>
      <c r="J46" s="25"/>
      <c r="K46" s="120"/>
    </row>
    <row r="47" spans="1:11" ht="18.75">
      <c r="A47" s="25"/>
      <c r="B47" s="25"/>
      <c r="C47" s="25"/>
      <c r="D47" s="25"/>
      <c r="E47" s="25"/>
      <c r="F47" s="26"/>
      <c r="G47" s="25"/>
      <c r="H47" s="26"/>
      <c r="I47" s="30"/>
      <c r="J47" s="25"/>
      <c r="K47" s="120"/>
    </row>
    <row r="48" spans="1:11" ht="18.75">
      <c r="A48" s="25"/>
      <c r="B48" s="25"/>
      <c r="C48" s="25"/>
      <c r="D48" s="25"/>
      <c r="E48" s="25"/>
      <c r="F48" s="26"/>
      <c r="G48" s="25"/>
      <c r="H48" s="26"/>
      <c r="I48" s="30"/>
      <c r="J48" s="25"/>
      <c r="K48" s="120"/>
    </row>
    <row r="49" spans="1:10" ht="18.75">
      <c r="A49" s="24"/>
      <c r="B49" s="24"/>
      <c r="C49" s="24"/>
      <c r="D49" s="24"/>
      <c r="E49" s="24"/>
      <c r="F49" s="144"/>
      <c r="G49" s="24"/>
      <c r="H49" s="144"/>
      <c r="I49" s="33"/>
      <c r="J49" s="24"/>
    </row>
    <row r="50" spans="1:10" ht="18.75">
      <c r="A50" s="24"/>
      <c r="B50" s="24"/>
      <c r="C50" s="24"/>
      <c r="D50" s="24"/>
      <c r="E50" s="24"/>
      <c r="F50" s="144"/>
      <c r="G50" s="24"/>
      <c r="H50" s="144"/>
      <c r="I50" s="33"/>
      <c r="J50" s="24"/>
    </row>
    <row r="51" spans="1:10" ht="18.75">
      <c r="A51" s="24"/>
      <c r="B51" s="24"/>
      <c r="C51" s="24"/>
      <c r="D51" s="24"/>
      <c r="E51" s="24"/>
      <c r="F51" s="144"/>
      <c r="G51" s="24"/>
      <c r="H51" s="144"/>
      <c r="I51" s="33"/>
      <c r="J51" s="24"/>
    </row>
    <row r="52" spans="1:10" ht="18.75">
      <c r="A52" s="24"/>
      <c r="B52" s="24"/>
      <c r="C52" s="24"/>
      <c r="D52" s="24"/>
      <c r="E52" s="24"/>
      <c r="F52" s="144"/>
      <c r="G52" s="24"/>
      <c r="H52" s="144"/>
      <c r="I52" s="33"/>
      <c r="J52" s="24"/>
    </row>
    <row r="53" spans="1:10" ht="18.75">
      <c r="A53" s="24"/>
      <c r="B53" s="24"/>
      <c r="C53" s="24"/>
      <c r="D53" s="24"/>
      <c r="E53" s="24"/>
      <c r="F53" s="144"/>
      <c r="G53" s="24"/>
      <c r="H53" s="144"/>
      <c r="I53" s="33"/>
      <c r="J53" s="24"/>
    </row>
    <row r="54" spans="1:10" ht="18.75">
      <c r="A54" s="24"/>
      <c r="B54" s="24"/>
      <c r="C54" s="24"/>
      <c r="D54" s="24"/>
      <c r="E54" s="24"/>
      <c r="F54" s="144"/>
      <c r="G54" s="24"/>
      <c r="H54" s="144"/>
      <c r="I54" s="33"/>
      <c r="J54" s="24"/>
    </row>
    <row r="55" spans="1:10" ht="18.75">
      <c r="A55" s="24"/>
      <c r="B55" s="24"/>
      <c r="C55" s="24"/>
      <c r="D55" s="24"/>
      <c r="E55" s="24"/>
      <c r="F55" s="144"/>
      <c r="G55" s="24"/>
      <c r="H55" s="144"/>
      <c r="I55" s="33"/>
      <c r="J55" s="24"/>
    </row>
    <row r="56" spans="1:10" ht="18.75">
      <c r="A56" s="24"/>
      <c r="B56" s="24"/>
      <c r="C56" s="24"/>
      <c r="D56" s="24"/>
      <c r="E56" s="24"/>
      <c r="F56" s="144"/>
      <c r="G56" s="24"/>
      <c r="H56" s="144"/>
      <c r="I56" s="33"/>
      <c r="J56" s="24"/>
    </row>
    <row r="57" spans="1:10" ht="18.75">
      <c r="A57" s="24"/>
      <c r="B57" s="24"/>
      <c r="C57" s="24"/>
      <c r="D57" s="24"/>
      <c r="E57" s="24"/>
      <c r="F57" s="144"/>
      <c r="G57" s="24"/>
      <c r="H57" s="144"/>
      <c r="I57" s="33"/>
      <c r="J57" s="24"/>
    </row>
    <row r="58" spans="1:10" ht="18.75">
      <c r="A58" s="24"/>
      <c r="B58" s="24"/>
      <c r="C58" s="24"/>
      <c r="D58" s="24"/>
      <c r="E58" s="24"/>
      <c r="F58" s="144"/>
      <c r="G58" s="24"/>
      <c r="H58" s="144"/>
      <c r="I58" s="33"/>
      <c r="J58" s="24"/>
    </row>
    <row r="59" spans="1:10" ht="18.75">
      <c r="A59" s="24"/>
      <c r="B59" s="24"/>
      <c r="C59" s="24"/>
      <c r="D59" s="24"/>
      <c r="E59" s="24"/>
      <c r="F59" s="144"/>
      <c r="G59" s="24"/>
      <c r="H59" s="144"/>
      <c r="I59" s="33"/>
      <c r="J59" s="24"/>
    </row>
    <row r="60" spans="1:10" ht="18.75">
      <c r="A60" s="24"/>
      <c r="B60" s="24"/>
      <c r="C60" s="24"/>
      <c r="D60" s="24"/>
      <c r="E60" s="24"/>
      <c r="F60" s="144"/>
      <c r="G60" s="24"/>
      <c r="H60" s="144"/>
      <c r="I60" s="33"/>
      <c r="J60" s="24"/>
    </row>
    <row r="61" spans="1:10" ht="18.75">
      <c r="A61" s="24"/>
      <c r="B61" s="24"/>
      <c r="C61" s="24"/>
      <c r="D61" s="24"/>
      <c r="E61" s="24"/>
      <c r="F61" s="144"/>
      <c r="G61" s="24"/>
      <c r="H61" s="144"/>
      <c r="I61" s="33"/>
      <c r="J61" s="24"/>
    </row>
    <row r="62" spans="1:10" ht="18.75">
      <c r="A62" s="24"/>
      <c r="B62" s="24"/>
      <c r="C62" s="24"/>
      <c r="D62" s="24"/>
      <c r="E62" s="24"/>
      <c r="F62" s="144"/>
      <c r="G62" s="24"/>
      <c r="H62" s="144"/>
      <c r="I62" s="33"/>
      <c r="J62" s="24"/>
    </row>
    <row r="63" spans="1:10" ht="18.75">
      <c r="A63" s="24"/>
      <c r="B63" s="24"/>
      <c r="C63" s="24"/>
      <c r="D63" s="24"/>
      <c r="E63" s="24"/>
      <c r="F63" s="144"/>
      <c r="G63" s="24"/>
      <c r="H63" s="144"/>
      <c r="I63" s="33"/>
      <c r="J63" s="24"/>
    </row>
    <row r="64" spans="1:10" ht="18.75">
      <c r="A64" s="24"/>
      <c r="B64" s="24"/>
      <c r="C64" s="24"/>
      <c r="D64" s="24"/>
      <c r="E64" s="24"/>
      <c r="F64" s="144"/>
      <c r="G64" s="24"/>
      <c r="H64" s="144"/>
      <c r="I64" s="33"/>
      <c r="J64" s="24"/>
    </row>
    <row r="65" spans="1:10" ht="18.75">
      <c r="A65" s="24"/>
      <c r="B65" s="24"/>
      <c r="C65" s="24"/>
      <c r="D65" s="24"/>
      <c r="E65" s="24"/>
      <c r="F65" s="144"/>
      <c r="G65" s="24"/>
      <c r="H65" s="144"/>
      <c r="I65" s="33"/>
      <c r="J65" s="24"/>
    </row>
  </sheetData>
  <mergeCells count="6">
    <mergeCell ref="B41:D41"/>
    <mergeCell ref="B42:E42"/>
    <mergeCell ref="A1:J1"/>
    <mergeCell ref="A14:I14"/>
    <mergeCell ref="C23:C24"/>
    <mergeCell ref="B38:F38"/>
  </mergeCells>
  <phoneticPr fontId="21" type="noConversion"/>
  <pageMargins left="0.75" right="0.75" top="1" bottom="1" header="0.5" footer="0.5"/>
  <pageSetup paperSize="9" scale="55" orientation="landscape" verticalDpi="0" r:id="rId1"/>
  <headerFooter alignWithMargins="0"/>
  <colBreaks count="1" manualBreakCount="1">
    <brk id="1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G7"/>
  <sheetViews>
    <sheetView workbookViewId="0">
      <selection activeCell="M12" sqref="M12"/>
    </sheetView>
  </sheetViews>
  <sheetFormatPr defaultRowHeight="15"/>
  <sheetData>
    <row r="7" spans="7:7">
      <c r="G7" t="s">
        <v>224</v>
      </c>
    </row>
  </sheetData>
  <phoneticPr fontId="2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:M156"/>
  <sheetViews>
    <sheetView topLeftCell="A61" zoomScale="75" workbookViewId="0">
      <selection activeCell="C76" sqref="C76:J83"/>
    </sheetView>
  </sheetViews>
  <sheetFormatPr defaultRowHeight="15.75"/>
  <cols>
    <col min="1" max="1" width="6.7109375" style="5" customWidth="1"/>
    <col min="2" max="2" width="18.140625" style="5" customWidth="1"/>
    <col min="3" max="3" width="29.42578125" style="5" customWidth="1"/>
    <col min="4" max="4" width="8.140625" style="5" customWidth="1"/>
    <col min="5" max="5" width="10.5703125" style="5" customWidth="1"/>
    <col min="6" max="6" width="60.85546875" style="145" customWidth="1"/>
    <col min="7" max="7" width="13.140625" style="5" customWidth="1"/>
    <col min="8" max="8" width="12.7109375" style="145" customWidth="1"/>
    <col min="9" max="9" width="14.140625" style="29" customWidth="1"/>
    <col min="10" max="10" width="21.140625" style="5" customWidth="1"/>
    <col min="11" max="11" width="11.42578125" style="121" customWidth="1"/>
    <col min="12" max="12" width="10.7109375" style="5" bestFit="1" customWidth="1"/>
    <col min="13" max="16384" width="9.140625" style="5"/>
  </cols>
  <sheetData>
    <row r="1" spans="1:11" ht="29.25" customHeight="1" thickBot="1">
      <c r="A1" s="692" t="s">
        <v>225</v>
      </c>
      <c r="B1" s="692"/>
      <c r="C1" s="692"/>
      <c r="D1" s="692"/>
      <c r="E1" s="692"/>
      <c r="F1" s="692"/>
      <c r="G1" s="692"/>
      <c r="H1" s="692"/>
      <c r="I1" s="692"/>
      <c r="J1" s="692"/>
      <c r="K1" s="103"/>
    </row>
    <row r="2" spans="1:11" ht="40.5" customHeight="1" thickBot="1">
      <c r="A2" s="185" t="s">
        <v>0</v>
      </c>
      <c r="B2" s="2" t="s">
        <v>1</v>
      </c>
      <c r="C2" s="2" t="s">
        <v>96</v>
      </c>
      <c r="D2" s="2" t="s">
        <v>2</v>
      </c>
      <c r="E2" s="2" t="s">
        <v>95</v>
      </c>
      <c r="F2" s="2" t="s">
        <v>3</v>
      </c>
      <c r="G2" s="3" t="s">
        <v>97</v>
      </c>
      <c r="H2" s="2" t="s">
        <v>4</v>
      </c>
      <c r="I2" s="4" t="s">
        <v>98</v>
      </c>
      <c r="J2" s="2" t="s">
        <v>99</v>
      </c>
      <c r="K2" s="94"/>
    </row>
    <row r="3" spans="1:11" ht="21" customHeight="1">
      <c r="A3" s="7">
        <v>1</v>
      </c>
      <c r="B3" s="7" t="s">
        <v>102</v>
      </c>
      <c r="C3" s="7" t="s">
        <v>5</v>
      </c>
      <c r="D3" s="7">
        <v>2210</v>
      </c>
      <c r="E3" s="7">
        <v>1513</v>
      </c>
      <c r="F3" s="7" t="s">
        <v>207</v>
      </c>
      <c r="G3" s="7" t="s">
        <v>43</v>
      </c>
      <c r="H3" s="11" t="s">
        <v>49</v>
      </c>
      <c r="I3" s="9"/>
      <c r="J3" s="9">
        <v>2061</v>
      </c>
      <c r="K3" s="98"/>
    </row>
    <row r="4" spans="1:11" ht="21" customHeight="1">
      <c r="A4" s="7"/>
      <c r="B4" s="7"/>
      <c r="C4" s="7"/>
      <c r="D4" s="7">
        <v>2210</v>
      </c>
      <c r="E4" s="7">
        <v>1114</v>
      </c>
      <c r="F4" s="7" t="s">
        <v>182</v>
      </c>
      <c r="G4" s="7" t="s">
        <v>43</v>
      </c>
      <c r="H4" s="10">
        <v>7</v>
      </c>
      <c r="I4" s="9"/>
      <c r="J4" s="9">
        <v>1540</v>
      </c>
      <c r="K4" s="98"/>
    </row>
    <row r="5" spans="1:11" ht="21" customHeight="1">
      <c r="A5" s="7"/>
      <c r="B5" s="7"/>
      <c r="C5" s="7"/>
      <c r="D5" s="7">
        <v>2210</v>
      </c>
      <c r="E5" s="7">
        <v>1113</v>
      </c>
      <c r="F5" s="7" t="s">
        <v>226</v>
      </c>
      <c r="G5" s="7" t="s">
        <v>43</v>
      </c>
      <c r="H5" s="10">
        <f>1+2+5+1</f>
        <v>9</v>
      </c>
      <c r="I5" s="9"/>
      <c r="J5" s="9">
        <f>100+600+350+500</f>
        <v>1550</v>
      </c>
      <c r="K5" s="98"/>
    </row>
    <row r="6" spans="1:11" ht="21" customHeight="1">
      <c r="A6" s="7"/>
      <c r="B6" s="7"/>
      <c r="C6" s="7"/>
      <c r="D6" s="7">
        <v>2210</v>
      </c>
      <c r="E6" s="7">
        <v>1113</v>
      </c>
      <c r="F6" s="7" t="s">
        <v>29</v>
      </c>
      <c r="G6" s="7" t="s">
        <v>43</v>
      </c>
      <c r="H6" s="10">
        <v>1</v>
      </c>
      <c r="I6" s="9"/>
      <c r="J6" s="9">
        <v>350</v>
      </c>
      <c r="K6" s="98"/>
    </row>
    <row r="7" spans="1:11" ht="21" customHeight="1">
      <c r="A7" s="7"/>
      <c r="B7" s="7"/>
      <c r="C7" s="7"/>
      <c r="D7" s="7">
        <v>2210</v>
      </c>
      <c r="E7" s="7">
        <v>1113</v>
      </c>
      <c r="F7" s="7" t="s">
        <v>227</v>
      </c>
      <c r="G7" s="7" t="s">
        <v>43</v>
      </c>
      <c r="H7" s="10">
        <v>32</v>
      </c>
      <c r="I7" s="9"/>
      <c r="J7" s="9">
        <v>1280</v>
      </c>
      <c r="K7" s="98"/>
    </row>
    <row r="8" spans="1:11" ht="21" customHeight="1">
      <c r="A8" s="7"/>
      <c r="B8" s="7"/>
      <c r="C8" s="7"/>
      <c r="D8" s="7">
        <v>2210</v>
      </c>
      <c r="E8" s="7">
        <v>1113</v>
      </c>
      <c r="F8" s="7" t="s">
        <v>228</v>
      </c>
      <c r="G8" s="7" t="s">
        <v>43</v>
      </c>
      <c r="H8" s="7">
        <f>5+10+4+17</f>
        <v>36</v>
      </c>
      <c r="I8" s="9"/>
      <c r="J8" s="9">
        <f>500+500+200+2550</f>
        <v>3750</v>
      </c>
      <c r="K8" s="98"/>
    </row>
    <row r="9" spans="1:11" ht="21" customHeight="1">
      <c r="A9" s="12"/>
      <c r="B9" s="12"/>
      <c r="C9" s="12"/>
      <c r="D9" s="12"/>
      <c r="E9" s="12"/>
      <c r="F9" s="15" t="s">
        <v>6</v>
      </c>
      <c r="G9" s="12"/>
      <c r="H9" s="13"/>
      <c r="I9" s="14"/>
      <c r="J9" s="358">
        <f>SUM(J3:J8)</f>
        <v>10531</v>
      </c>
      <c r="K9" s="96"/>
    </row>
    <row r="10" spans="1:11" ht="29.25" customHeight="1">
      <c r="A10" s="31">
        <v>2</v>
      </c>
      <c r="B10" s="31" t="s">
        <v>101</v>
      </c>
      <c r="C10" s="31" t="s">
        <v>5</v>
      </c>
      <c r="D10" s="31">
        <v>2210</v>
      </c>
      <c r="E10" s="31" t="s">
        <v>15</v>
      </c>
      <c r="F10" s="188" t="s">
        <v>229</v>
      </c>
      <c r="G10" s="31" t="s">
        <v>13</v>
      </c>
      <c r="H10" s="35">
        <v>9</v>
      </c>
      <c r="I10" s="32"/>
      <c r="J10" s="187">
        <v>150</v>
      </c>
      <c r="K10" s="100"/>
    </row>
    <row r="11" spans="1:11" ht="29.25" customHeight="1">
      <c r="A11" s="31"/>
      <c r="B11" s="31"/>
      <c r="C11" s="31"/>
      <c r="D11" s="31">
        <v>2210</v>
      </c>
      <c r="E11" s="31">
        <v>1114</v>
      </c>
      <c r="F11" s="188" t="s">
        <v>182</v>
      </c>
      <c r="G11" s="31" t="s">
        <v>43</v>
      </c>
      <c r="H11" s="35">
        <f>10+75+75+75+40+10</f>
        <v>285</v>
      </c>
      <c r="I11" s="32"/>
      <c r="J11" s="187">
        <f>1500+3750+2250+5250+600+150</f>
        <v>13500</v>
      </c>
      <c r="K11" s="100"/>
    </row>
    <row r="12" spans="1:11" ht="21" customHeight="1">
      <c r="A12" s="127"/>
      <c r="B12" s="127"/>
      <c r="C12" s="127"/>
      <c r="D12" s="127"/>
      <c r="E12" s="127"/>
      <c r="F12" s="189" t="s">
        <v>105</v>
      </c>
      <c r="G12" s="127"/>
      <c r="H12" s="190"/>
      <c r="I12" s="129"/>
      <c r="J12" s="358">
        <f>SUM(J10:J11)</f>
        <v>13650</v>
      </c>
      <c r="K12" s="191"/>
    </row>
    <row r="13" spans="1:11" ht="21" customHeight="1">
      <c r="A13" s="31"/>
      <c r="B13" s="31" t="s">
        <v>104</v>
      </c>
      <c r="C13" s="31" t="s">
        <v>5</v>
      </c>
      <c r="D13" s="31">
        <v>2210</v>
      </c>
      <c r="E13" s="31">
        <v>1113</v>
      </c>
      <c r="F13" s="188" t="s">
        <v>230</v>
      </c>
      <c r="G13" s="31" t="s">
        <v>43</v>
      </c>
      <c r="H13" s="35">
        <f>7+1+1+1+1+1</f>
        <v>12</v>
      </c>
      <c r="I13" s="32"/>
      <c r="J13" s="32">
        <f>280+950+100+50+200+1000</f>
        <v>2580</v>
      </c>
      <c r="K13" s="100"/>
    </row>
    <row r="14" spans="1:11" ht="21" customHeight="1">
      <c r="A14" s="31"/>
      <c r="B14" s="31"/>
      <c r="C14" s="31"/>
      <c r="D14" s="31">
        <v>2210</v>
      </c>
      <c r="E14" s="31">
        <v>1114</v>
      </c>
      <c r="F14" s="188" t="s">
        <v>231</v>
      </c>
      <c r="G14" s="31" t="s">
        <v>43</v>
      </c>
      <c r="H14" s="35">
        <v>52</v>
      </c>
      <c r="I14" s="32"/>
      <c r="J14" s="32">
        <f>2080+1300</f>
        <v>3380</v>
      </c>
      <c r="K14" s="100"/>
    </row>
    <row r="15" spans="1:11" ht="21" customHeight="1">
      <c r="A15" s="127"/>
      <c r="B15" s="127"/>
      <c r="C15" s="127"/>
      <c r="D15" s="127"/>
      <c r="E15" s="127"/>
      <c r="F15" s="192" t="s">
        <v>106</v>
      </c>
      <c r="G15" s="127"/>
      <c r="H15" s="190"/>
      <c r="I15" s="129"/>
      <c r="J15" s="358">
        <f>SUM(J13:J14)</f>
        <v>5960</v>
      </c>
      <c r="K15" s="191"/>
    </row>
    <row r="16" spans="1:11" s="28" customFormat="1" ht="21" customHeight="1">
      <c r="A16" s="31"/>
      <c r="B16" s="31" t="s">
        <v>232</v>
      </c>
      <c r="C16" s="31" t="s">
        <v>5</v>
      </c>
      <c r="D16" s="31">
        <v>2210</v>
      </c>
      <c r="E16" s="31" t="s">
        <v>15</v>
      </c>
      <c r="F16" s="360" t="s">
        <v>233</v>
      </c>
      <c r="G16" s="31" t="s">
        <v>235</v>
      </c>
      <c r="H16" s="35">
        <v>5</v>
      </c>
      <c r="I16" s="32"/>
      <c r="J16" s="186">
        <v>295</v>
      </c>
      <c r="K16" s="100"/>
    </row>
    <row r="17" spans="1:13" s="28" customFormat="1" ht="21" customHeight="1">
      <c r="A17" s="31"/>
      <c r="B17" s="31"/>
      <c r="C17" s="31"/>
      <c r="D17" s="31"/>
      <c r="E17" s="31"/>
      <c r="F17" s="362" t="s">
        <v>234</v>
      </c>
      <c r="G17" s="31" t="s">
        <v>13</v>
      </c>
      <c r="H17" s="35">
        <v>2</v>
      </c>
      <c r="I17" s="32"/>
      <c r="J17" s="186">
        <v>20</v>
      </c>
      <c r="K17" s="100"/>
    </row>
    <row r="18" spans="1:13" ht="21" customHeight="1">
      <c r="A18" s="127"/>
      <c r="B18" s="127"/>
      <c r="C18" s="127"/>
      <c r="D18" s="127"/>
      <c r="E18" s="127"/>
      <c r="F18" s="192"/>
      <c r="G18" s="127"/>
      <c r="H18" s="190"/>
      <c r="I18" s="129"/>
      <c r="J18" s="358">
        <f>SUM(J16:J17)</f>
        <v>315</v>
      </c>
      <c r="K18" s="191"/>
    </row>
    <row r="19" spans="1:13" s="28" customFormat="1" ht="21" customHeight="1">
      <c r="A19" s="31"/>
      <c r="B19" s="31" t="s">
        <v>236</v>
      </c>
      <c r="C19" s="31" t="s">
        <v>5</v>
      </c>
      <c r="D19" s="31">
        <v>2210</v>
      </c>
      <c r="E19" s="31" t="s">
        <v>15</v>
      </c>
      <c r="F19" s="362" t="s">
        <v>209</v>
      </c>
      <c r="G19" s="31" t="s">
        <v>43</v>
      </c>
      <c r="H19" s="35">
        <v>1</v>
      </c>
      <c r="I19" s="32"/>
      <c r="J19" s="186">
        <v>39</v>
      </c>
      <c r="K19" s="100"/>
    </row>
    <row r="20" spans="1:13" s="28" customFormat="1" ht="21" customHeight="1">
      <c r="A20" s="31"/>
      <c r="B20" s="31"/>
      <c r="C20" s="31"/>
      <c r="D20" s="31">
        <v>2210</v>
      </c>
      <c r="E20" s="31">
        <v>1113</v>
      </c>
      <c r="F20" s="362" t="s">
        <v>204</v>
      </c>
      <c r="G20" s="31" t="s">
        <v>43</v>
      </c>
      <c r="H20" s="35">
        <f>2+1+2+1+2</f>
        <v>8</v>
      </c>
      <c r="I20" s="32"/>
      <c r="J20" s="186">
        <f>1630+420+196+380+400</f>
        <v>3026</v>
      </c>
      <c r="K20" s="100"/>
    </row>
    <row r="21" spans="1:13" s="28" customFormat="1" ht="21" customHeight="1">
      <c r="A21" s="31"/>
      <c r="B21" s="31"/>
      <c r="C21" s="31"/>
      <c r="D21" s="31">
        <v>2210</v>
      </c>
      <c r="E21" s="31">
        <v>1113</v>
      </c>
      <c r="F21" s="362" t="s">
        <v>203</v>
      </c>
      <c r="G21" s="31" t="s">
        <v>43</v>
      </c>
      <c r="H21" s="35">
        <v>1</v>
      </c>
      <c r="I21" s="32"/>
      <c r="J21" s="186">
        <v>750</v>
      </c>
      <c r="K21" s="100"/>
    </row>
    <row r="22" spans="1:13" s="28" customFormat="1" ht="21" customHeight="1">
      <c r="A22" s="31"/>
      <c r="B22" s="31"/>
      <c r="C22" s="31"/>
      <c r="D22" s="31">
        <v>2210</v>
      </c>
      <c r="E22" s="31">
        <v>1113</v>
      </c>
      <c r="F22" s="362" t="s">
        <v>202</v>
      </c>
      <c r="G22" s="31" t="s">
        <v>43</v>
      </c>
      <c r="H22" s="35">
        <v>2</v>
      </c>
      <c r="I22" s="32"/>
      <c r="J22" s="186">
        <v>60</v>
      </c>
      <c r="K22" s="100"/>
    </row>
    <row r="23" spans="1:13" s="245" customFormat="1" ht="21" customHeight="1">
      <c r="A23" s="127"/>
      <c r="B23" s="127"/>
      <c r="C23" s="127"/>
      <c r="D23" s="127"/>
      <c r="E23" s="127"/>
      <c r="F23" s="361"/>
      <c r="G23" s="127"/>
      <c r="H23" s="190"/>
      <c r="I23" s="129"/>
      <c r="J23" s="130">
        <f>SUM(J19:J22)</f>
        <v>3875</v>
      </c>
      <c r="K23" s="191"/>
    </row>
    <row r="24" spans="1:13" ht="21" customHeight="1">
      <c r="A24" s="31"/>
      <c r="B24" s="31" t="s">
        <v>109</v>
      </c>
      <c r="C24" s="31" t="s">
        <v>5</v>
      </c>
      <c r="D24" s="31">
        <v>2210</v>
      </c>
      <c r="E24" s="31" t="s">
        <v>15</v>
      </c>
      <c r="F24" s="188" t="s">
        <v>237</v>
      </c>
      <c r="G24" s="31" t="s">
        <v>43</v>
      </c>
      <c r="H24" s="35">
        <f>16+12+3+8+8+12+16+12+3+8+8+12+6</f>
        <v>124</v>
      </c>
      <c r="I24" s="32"/>
      <c r="J24" s="186">
        <f>304+163.8+84+39.2+82.4+234+51.33+304+163.8+84+39.2+82.4+234+174</f>
        <v>2040.13</v>
      </c>
      <c r="K24" s="100"/>
    </row>
    <row r="25" spans="1:13" ht="21" customHeight="1">
      <c r="A25" s="31"/>
      <c r="B25" s="31"/>
      <c r="C25" s="31"/>
      <c r="D25" s="31">
        <v>2210</v>
      </c>
      <c r="E25" s="31" t="s">
        <v>19</v>
      </c>
      <c r="F25" s="188" t="s">
        <v>208</v>
      </c>
      <c r="G25" s="31" t="s">
        <v>144</v>
      </c>
      <c r="H25" s="35">
        <f>2+6+2+2+6</f>
        <v>18</v>
      </c>
      <c r="I25" s="32"/>
      <c r="J25" s="186">
        <f>75.6+94.2+170+75.6+94.2+188</f>
        <v>697.59999999999991</v>
      </c>
      <c r="K25" s="100"/>
    </row>
    <row r="26" spans="1:13" ht="21" customHeight="1">
      <c r="A26" s="31"/>
      <c r="B26" s="31"/>
      <c r="C26" s="31"/>
      <c r="D26" s="31">
        <v>2210</v>
      </c>
      <c r="E26" s="31">
        <v>1113</v>
      </c>
      <c r="F26" s="188" t="s">
        <v>53</v>
      </c>
      <c r="G26" s="31" t="s">
        <v>43</v>
      </c>
      <c r="H26" s="35">
        <f>6+2</f>
        <v>8</v>
      </c>
      <c r="I26" s="32"/>
      <c r="J26" s="186">
        <f>840+320</f>
        <v>1160</v>
      </c>
      <c r="K26" s="100"/>
    </row>
    <row r="27" spans="1:13" ht="21" customHeight="1">
      <c r="A27" s="31"/>
      <c r="B27" s="31"/>
      <c r="C27" s="31"/>
      <c r="D27" s="31">
        <v>2210</v>
      </c>
      <c r="E27" s="31">
        <v>1113</v>
      </c>
      <c r="F27" s="188" t="s">
        <v>238</v>
      </c>
      <c r="G27" s="31" t="s">
        <v>43</v>
      </c>
      <c r="H27" s="35">
        <v>2</v>
      </c>
      <c r="I27" s="32"/>
      <c r="J27" s="186">
        <f>250+1890</f>
        <v>2140</v>
      </c>
      <c r="K27" s="100"/>
    </row>
    <row r="28" spans="1:13" ht="21" customHeight="1">
      <c r="A28" s="31"/>
      <c r="B28" s="31"/>
      <c r="C28" s="31"/>
      <c r="D28" s="31">
        <v>2220</v>
      </c>
      <c r="E28" s="31">
        <v>1512</v>
      </c>
      <c r="F28" s="188" t="s">
        <v>239</v>
      </c>
      <c r="G28" s="31" t="s">
        <v>240</v>
      </c>
      <c r="H28" s="35">
        <v>3</v>
      </c>
      <c r="I28" s="32"/>
      <c r="J28" s="186">
        <f>520+170</f>
        <v>690</v>
      </c>
      <c r="K28" s="100"/>
    </row>
    <row r="29" spans="1:13" ht="16.5" customHeight="1">
      <c r="A29" s="127"/>
      <c r="B29" s="127"/>
      <c r="C29" s="127"/>
      <c r="D29" s="127"/>
      <c r="E29" s="127"/>
      <c r="F29" s="192" t="s">
        <v>106</v>
      </c>
      <c r="G29" s="127"/>
      <c r="H29" s="190"/>
      <c r="I29" s="129"/>
      <c r="J29" s="358">
        <f>SUM(J24:J28)</f>
        <v>6727.73</v>
      </c>
      <c r="K29" s="191"/>
      <c r="M29" s="29"/>
    </row>
    <row r="30" spans="1:13" s="16" customFormat="1" ht="18.75">
      <c r="A30" s="31">
        <v>4</v>
      </c>
      <c r="B30" s="31" t="s">
        <v>186</v>
      </c>
      <c r="C30" s="31" t="s">
        <v>5</v>
      </c>
      <c r="D30" s="31">
        <v>2210</v>
      </c>
      <c r="E30" s="31">
        <v>1113</v>
      </c>
      <c r="F30" s="188" t="s">
        <v>112</v>
      </c>
      <c r="G30" s="31" t="s">
        <v>43</v>
      </c>
      <c r="H30" s="35">
        <f>1+1</f>
        <v>2</v>
      </c>
      <c r="I30" s="156"/>
      <c r="J30" s="32">
        <f>4000+4050</f>
        <v>8050</v>
      </c>
      <c r="K30" s="100"/>
      <c r="M30" s="37"/>
    </row>
    <row r="31" spans="1:13" s="16" customFormat="1" ht="18.75">
      <c r="A31" s="31"/>
      <c r="B31" s="31"/>
      <c r="C31" s="31"/>
      <c r="D31" s="31">
        <v>2210</v>
      </c>
      <c r="E31" s="31">
        <v>1114</v>
      </c>
      <c r="F31" s="359" t="s">
        <v>241</v>
      </c>
      <c r="G31" s="31" t="s">
        <v>43</v>
      </c>
      <c r="H31" s="35">
        <v>18</v>
      </c>
      <c r="I31" s="156"/>
      <c r="J31" s="32">
        <v>1314</v>
      </c>
      <c r="K31" s="100"/>
      <c r="M31" s="37"/>
    </row>
    <row r="32" spans="1:13" s="16" customFormat="1" ht="21" customHeight="1">
      <c r="A32" s="12"/>
      <c r="B32" s="12"/>
      <c r="C32" s="12"/>
      <c r="D32" s="12"/>
      <c r="E32" s="12"/>
      <c r="F32" s="15" t="s">
        <v>6</v>
      </c>
      <c r="G32" s="12"/>
      <c r="H32" s="13"/>
      <c r="I32" s="14"/>
      <c r="J32" s="358">
        <f>SUM(J30:J31)</f>
        <v>9364</v>
      </c>
      <c r="K32" s="104"/>
      <c r="M32" s="37"/>
    </row>
    <row r="33" spans="1:11" ht="21" customHeight="1">
      <c r="A33" s="7">
        <v>5</v>
      </c>
      <c r="B33" s="7" t="s">
        <v>242</v>
      </c>
      <c r="C33" s="7" t="s">
        <v>5</v>
      </c>
      <c r="D33" s="7">
        <v>2210</v>
      </c>
      <c r="E33" s="7" t="s">
        <v>15</v>
      </c>
      <c r="F33" s="363" t="s">
        <v>108</v>
      </c>
      <c r="G33" s="7" t="s">
        <v>11</v>
      </c>
      <c r="H33" s="19">
        <f>17+10+13+12</f>
        <v>52</v>
      </c>
      <c r="I33" s="9"/>
      <c r="J33" s="9">
        <f>2550+60+169+180</f>
        <v>2959</v>
      </c>
      <c r="K33" s="95"/>
    </row>
    <row r="34" spans="1:11" ht="21" customHeight="1">
      <c r="A34" s="7"/>
      <c r="B34" s="7"/>
      <c r="C34" s="7"/>
      <c r="D34" s="7">
        <v>2210</v>
      </c>
      <c r="E34" s="7" t="s">
        <v>19</v>
      </c>
      <c r="F34" s="364" t="s">
        <v>31</v>
      </c>
      <c r="G34" s="7" t="s">
        <v>11</v>
      </c>
      <c r="H34" s="19">
        <v>24</v>
      </c>
      <c r="I34" s="9"/>
      <c r="J34" s="9">
        <v>96</v>
      </c>
      <c r="K34" s="95"/>
    </row>
    <row r="35" spans="1:11" ht="21" customHeight="1">
      <c r="A35" s="7"/>
      <c r="B35" s="7"/>
      <c r="C35" s="7"/>
      <c r="D35" s="7">
        <v>2220</v>
      </c>
      <c r="E35" s="7">
        <v>1512</v>
      </c>
      <c r="F35" s="364" t="s">
        <v>243</v>
      </c>
      <c r="G35" s="7" t="s">
        <v>13</v>
      </c>
      <c r="H35" s="10">
        <v>3</v>
      </c>
      <c r="I35" s="9"/>
      <c r="J35" s="9">
        <v>900</v>
      </c>
      <c r="K35" s="98"/>
    </row>
    <row r="36" spans="1:11" s="16" customFormat="1" ht="21" customHeight="1">
      <c r="A36" s="12"/>
      <c r="B36" s="12"/>
      <c r="C36" s="12"/>
      <c r="D36" s="12"/>
      <c r="E36" s="12"/>
      <c r="F36" s="15" t="s">
        <v>6</v>
      </c>
      <c r="G36" s="12"/>
      <c r="H36" s="17"/>
      <c r="I36" s="14"/>
      <c r="J36" s="358">
        <f>SUM(J33:J35)</f>
        <v>3955</v>
      </c>
      <c r="K36" s="96"/>
    </row>
    <row r="37" spans="1:11" ht="21" customHeight="1">
      <c r="A37" s="7">
        <v>6</v>
      </c>
      <c r="B37" s="7" t="s">
        <v>244</v>
      </c>
      <c r="C37" s="7" t="s">
        <v>5</v>
      </c>
      <c r="D37" s="7">
        <v>2210</v>
      </c>
      <c r="E37" s="7">
        <v>1513</v>
      </c>
      <c r="F37" s="364" t="s">
        <v>207</v>
      </c>
      <c r="G37" s="7" t="s">
        <v>11</v>
      </c>
      <c r="H37" s="11" t="s">
        <v>111</v>
      </c>
      <c r="I37" s="9"/>
      <c r="J37" s="9">
        <f>7924+7156</f>
        <v>15080</v>
      </c>
      <c r="K37" s="95"/>
    </row>
    <row r="38" spans="1:11" ht="21" customHeight="1">
      <c r="A38" s="7"/>
      <c r="B38" s="7"/>
      <c r="C38" s="7"/>
      <c r="D38" s="7">
        <v>2210</v>
      </c>
      <c r="E38" s="7" t="s">
        <v>15</v>
      </c>
      <c r="F38" s="364" t="s">
        <v>245</v>
      </c>
      <c r="G38" s="7" t="s">
        <v>43</v>
      </c>
      <c r="H38" s="11" t="s">
        <v>134</v>
      </c>
      <c r="I38" s="9"/>
      <c r="J38" s="9">
        <f>550+120</f>
        <v>670</v>
      </c>
      <c r="K38" s="95"/>
    </row>
    <row r="39" spans="1:11" ht="21" customHeight="1">
      <c r="A39" s="7"/>
      <c r="B39" s="7"/>
      <c r="C39" s="7"/>
      <c r="D39" s="7">
        <v>2210</v>
      </c>
      <c r="E39" s="7">
        <v>1113</v>
      </c>
      <c r="F39" s="364" t="s">
        <v>246</v>
      </c>
      <c r="G39" s="7" t="s">
        <v>43</v>
      </c>
      <c r="H39" s="11" t="s">
        <v>156</v>
      </c>
      <c r="I39" s="9"/>
      <c r="J39" s="9">
        <v>2700</v>
      </c>
      <c r="K39" s="95"/>
    </row>
    <row r="40" spans="1:11" s="16" customFormat="1" ht="21" customHeight="1">
      <c r="A40" s="12"/>
      <c r="B40" s="12"/>
      <c r="C40" s="12"/>
      <c r="D40" s="12"/>
      <c r="E40" s="12"/>
      <c r="F40" s="15" t="s">
        <v>6</v>
      </c>
      <c r="G40" s="12"/>
      <c r="H40" s="17"/>
      <c r="I40" s="14"/>
      <c r="J40" s="358">
        <f>SUM(J37:J39)</f>
        <v>18450</v>
      </c>
      <c r="K40" s="96"/>
    </row>
    <row r="41" spans="1:11" s="16" customFormat="1" ht="21" customHeight="1">
      <c r="A41" s="31">
        <v>7</v>
      </c>
      <c r="B41" s="31" t="s">
        <v>137</v>
      </c>
      <c r="C41" s="31" t="s">
        <v>5</v>
      </c>
      <c r="D41" s="31">
        <v>2210</v>
      </c>
      <c r="E41" s="31" t="s">
        <v>15</v>
      </c>
      <c r="F41" s="31" t="s">
        <v>237</v>
      </c>
      <c r="G41" s="31" t="s">
        <v>13</v>
      </c>
      <c r="H41" s="194" t="s">
        <v>248</v>
      </c>
      <c r="I41" s="32"/>
      <c r="J41" s="186">
        <f>836+600+600</f>
        <v>2036</v>
      </c>
      <c r="K41" s="100"/>
    </row>
    <row r="42" spans="1:11" s="16" customFormat="1" ht="21" customHeight="1">
      <c r="A42" s="31"/>
      <c r="B42" s="31"/>
      <c r="C42" s="31"/>
      <c r="D42" s="31">
        <v>2210</v>
      </c>
      <c r="E42" s="31" t="s">
        <v>19</v>
      </c>
      <c r="F42" s="31" t="s">
        <v>247</v>
      </c>
      <c r="G42" s="31" t="s">
        <v>43</v>
      </c>
      <c r="H42" s="19">
        <f>100+40+40+80</f>
        <v>260</v>
      </c>
      <c r="I42" s="32"/>
      <c r="J42" s="186">
        <f>220+240+400+220+240+1600</f>
        <v>2920</v>
      </c>
      <c r="K42" s="100"/>
    </row>
    <row r="43" spans="1:11" s="16" customFormat="1" ht="21" customHeight="1">
      <c r="A43" s="31"/>
      <c r="B43" s="31"/>
      <c r="C43" s="31"/>
      <c r="D43" s="31">
        <v>2210</v>
      </c>
      <c r="E43" s="31">
        <v>1113</v>
      </c>
      <c r="F43" s="31" t="s">
        <v>249</v>
      </c>
      <c r="G43" s="31" t="s">
        <v>43</v>
      </c>
      <c r="H43" s="19">
        <f>7+6</f>
        <v>13</v>
      </c>
      <c r="I43" s="32"/>
      <c r="J43" s="186">
        <f>266+108+33</f>
        <v>407</v>
      </c>
      <c r="K43" s="100"/>
    </row>
    <row r="44" spans="1:11" s="16" customFormat="1" ht="21" customHeight="1">
      <c r="A44" s="31"/>
      <c r="B44" s="31"/>
      <c r="C44" s="31"/>
      <c r="D44" s="31">
        <v>2210</v>
      </c>
      <c r="E44" s="31">
        <v>1113</v>
      </c>
      <c r="F44" s="31" t="s">
        <v>250</v>
      </c>
      <c r="G44" s="31" t="s">
        <v>43</v>
      </c>
      <c r="H44" s="19">
        <f>1+1+4+2</f>
        <v>8</v>
      </c>
      <c r="I44" s="32"/>
      <c r="J44" s="186">
        <f>500+2900+3000+3400</f>
        <v>9800</v>
      </c>
      <c r="K44" s="100"/>
    </row>
    <row r="45" spans="1:11" s="16" customFormat="1" ht="21" customHeight="1">
      <c r="A45" s="31"/>
      <c r="B45" s="31"/>
      <c r="C45" s="31"/>
      <c r="D45" s="31">
        <v>2210</v>
      </c>
      <c r="E45" s="31">
        <v>1113</v>
      </c>
      <c r="F45" s="31" t="s">
        <v>29</v>
      </c>
      <c r="G45" s="31" t="s">
        <v>43</v>
      </c>
      <c r="H45" s="19">
        <v>1</v>
      </c>
      <c r="I45" s="32"/>
      <c r="J45" s="186">
        <v>3600</v>
      </c>
      <c r="K45" s="100"/>
    </row>
    <row r="46" spans="1:11" s="16" customFormat="1" ht="21" customHeight="1">
      <c r="A46" s="31"/>
      <c r="B46" s="31"/>
      <c r="C46" s="31"/>
      <c r="D46" s="31">
        <v>2210</v>
      </c>
      <c r="E46" s="31">
        <v>1113</v>
      </c>
      <c r="F46" s="31" t="s">
        <v>251</v>
      </c>
      <c r="G46" s="31" t="s">
        <v>43</v>
      </c>
      <c r="H46" s="19">
        <f>6+6</f>
        <v>12</v>
      </c>
      <c r="I46" s="32"/>
      <c r="J46" s="186">
        <f>1080+900</f>
        <v>1980</v>
      </c>
      <c r="K46" s="100"/>
    </row>
    <row r="47" spans="1:11" s="16" customFormat="1" ht="21" customHeight="1">
      <c r="A47" s="12"/>
      <c r="B47" s="12"/>
      <c r="C47" s="12"/>
      <c r="D47" s="12"/>
      <c r="E47" s="12"/>
      <c r="F47" s="15" t="s">
        <v>6</v>
      </c>
      <c r="G47" s="12"/>
      <c r="H47" s="17"/>
      <c r="I47" s="14"/>
      <c r="J47" s="358">
        <f>SUM(J41:J46)</f>
        <v>20743</v>
      </c>
      <c r="K47" s="104"/>
    </row>
    <row r="48" spans="1:11" ht="21" customHeight="1">
      <c r="A48" s="7">
        <v>8</v>
      </c>
      <c r="B48" s="7" t="s">
        <v>252</v>
      </c>
      <c r="C48" s="7" t="s">
        <v>5</v>
      </c>
      <c r="D48" s="7">
        <v>2210</v>
      </c>
      <c r="E48" s="7">
        <v>1113</v>
      </c>
      <c r="F48" s="7" t="s">
        <v>204</v>
      </c>
      <c r="G48" s="7" t="s">
        <v>11</v>
      </c>
      <c r="H48" s="11" t="s">
        <v>134</v>
      </c>
      <c r="I48" s="9"/>
      <c r="J48" s="9">
        <f>80+300+1000</f>
        <v>1380</v>
      </c>
      <c r="K48" s="97"/>
    </row>
    <row r="49" spans="1:12" s="16" customFormat="1" ht="21" customHeight="1">
      <c r="A49" s="12"/>
      <c r="B49" s="12"/>
      <c r="C49" s="12"/>
      <c r="D49" s="12"/>
      <c r="E49" s="12"/>
      <c r="F49" s="15" t="s">
        <v>6</v>
      </c>
      <c r="G49" s="12"/>
      <c r="H49" s="20"/>
      <c r="I49" s="14"/>
      <c r="J49" s="358">
        <f>SUM(J48:J48)</f>
        <v>1380</v>
      </c>
      <c r="K49" s="107"/>
    </row>
    <row r="50" spans="1:12" ht="21" customHeight="1">
      <c r="A50" s="7">
        <v>9</v>
      </c>
      <c r="B50" s="7" t="s">
        <v>253</v>
      </c>
      <c r="C50" s="7" t="s">
        <v>5</v>
      </c>
      <c r="D50" s="7">
        <v>2210</v>
      </c>
      <c r="E50" s="7" t="s">
        <v>19</v>
      </c>
      <c r="F50" s="7" t="s">
        <v>254</v>
      </c>
      <c r="G50" s="7" t="s">
        <v>11</v>
      </c>
      <c r="H50" s="19">
        <f>7+3+3+3+1+3+1+1+30+4+7+1+3+3+5+1</f>
        <v>76</v>
      </c>
      <c r="I50" s="9"/>
      <c r="J50" s="9">
        <v>1109</v>
      </c>
      <c r="K50" s="95"/>
    </row>
    <row r="51" spans="1:12" ht="21" customHeight="1">
      <c r="A51" s="7"/>
      <c r="B51" s="7"/>
      <c r="C51" s="7"/>
      <c r="D51" s="7">
        <v>2210</v>
      </c>
      <c r="E51" s="7" t="s">
        <v>15</v>
      </c>
      <c r="F51" s="7" t="s">
        <v>237</v>
      </c>
      <c r="G51" s="7" t="s">
        <v>43</v>
      </c>
      <c r="H51" s="19">
        <f>1+2+2+1+1+2+1+1+1+1+1+1+1+40+2+9</f>
        <v>67</v>
      </c>
      <c r="I51" s="9"/>
      <c r="J51" s="9">
        <v>1151.7</v>
      </c>
      <c r="K51" s="95"/>
    </row>
    <row r="52" spans="1:12" s="16" customFormat="1" ht="21" customHeight="1">
      <c r="A52" s="12"/>
      <c r="B52" s="12"/>
      <c r="C52" s="12"/>
      <c r="D52" s="12"/>
      <c r="E52" s="12"/>
      <c r="F52" s="15" t="s">
        <v>6</v>
      </c>
      <c r="G52" s="12"/>
      <c r="H52" s="20"/>
      <c r="I52" s="14"/>
      <c r="J52" s="358">
        <f>SUM(J50:J51)</f>
        <v>2260.6999999999998</v>
      </c>
      <c r="K52" s="107"/>
    </row>
    <row r="53" spans="1:12" s="28" customFormat="1" ht="21" customHeight="1">
      <c r="A53" s="31">
        <v>10</v>
      </c>
      <c r="B53" s="31" t="s">
        <v>17</v>
      </c>
      <c r="C53" s="31" t="s">
        <v>5</v>
      </c>
      <c r="D53" s="31">
        <v>2210</v>
      </c>
      <c r="E53" s="31" t="s">
        <v>15</v>
      </c>
      <c r="F53" s="31" t="s">
        <v>237</v>
      </c>
      <c r="G53" s="31" t="s">
        <v>13</v>
      </c>
      <c r="H53" s="34">
        <f>7.7+1.5+2.2+0.65+5+7.7+1.5+2.2+5</f>
        <v>33.449999999999996</v>
      </c>
      <c r="I53" s="32"/>
      <c r="J53" s="32">
        <f>154+25.5+88+8.25+40.25+60+154+25.5+88+60</f>
        <v>703.5</v>
      </c>
      <c r="K53" s="100"/>
    </row>
    <row r="54" spans="1:12" ht="21" customHeight="1">
      <c r="A54" s="7"/>
      <c r="B54" s="7"/>
      <c r="C54" s="7"/>
      <c r="D54" s="7">
        <v>2220</v>
      </c>
      <c r="E54" s="7">
        <v>1512</v>
      </c>
      <c r="F54" s="7" t="s">
        <v>192</v>
      </c>
      <c r="G54" s="7" t="s">
        <v>13</v>
      </c>
      <c r="H54" s="227">
        <f>1.2+1.2</f>
        <v>2.4</v>
      </c>
      <c r="I54" s="10"/>
      <c r="J54" s="9">
        <f>240+240</f>
        <v>480</v>
      </c>
      <c r="K54" s="99"/>
    </row>
    <row r="55" spans="1:12" ht="21" customHeight="1">
      <c r="A55" s="7"/>
      <c r="B55" s="7"/>
      <c r="C55" s="7"/>
      <c r="D55" s="7">
        <v>2210</v>
      </c>
      <c r="E55" s="7">
        <v>1113</v>
      </c>
      <c r="F55" s="7" t="s">
        <v>255</v>
      </c>
      <c r="G55" s="7" t="s">
        <v>43</v>
      </c>
      <c r="H55" s="227">
        <v>2</v>
      </c>
      <c r="I55" s="10"/>
      <c r="J55" s="9">
        <f>350+300</f>
        <v>650</v>
      </c>
      <c r="K55" s="99"/>
    </row>
    <row r="56" spans="1:12" s="16" customFormat="1" ht="21" customHeight="1">
      <c r="A56" s="12"/>
      <c r="B56" s="12"/>
      <c r="C56" s="12"/>
      <c r="D56" s="12"/>
      <c r="E56" s="12"/>
      <c r="F56" s="15" t="s">
        <v>6</v>
      </c>
      <c r="G56" s="12"/>
      <c r="H56" s="20"/>
      <c r="I56" s="14"/>
      <c r="J56" s="358">
        <f>SUM(J53:J55)</f>
        <v>1833.5</v>
      </c>
      <c r="K56" s="101"/>
    </row>
    <row r="57" spans="1:12" s="16" customFormat="1" ht="21" customHeight="1">
      <c r="A57" s="31">
        <v>11</v>
      </c>
      <c r="B57" s="31" t="s">
        <v>138</v>
      </c>
      <c r="C57" s="31" t="s">
        <v>5</v>
      </c>
      <c r="D57" s="31">
        <v>3110</v>
      </c>
      <c r="E57" s="31">
        <v>1014</v>
      </c>
      <c r="F57" s="31" t="s">
        <v>256</v>
      </c>
      <c r="G57" s="31" t="s">
        <v>11</v>
      </c>
      <c r="H57" s="163">
        <v>1</v>
      </c>
      <c r="I57" s="162"/>
      <c r="J57" s="162">
        <v>29500</v>
      </c>
      <c r="K57" s="199"/>
    </row>
    <row r="58" spans="1:12" s="16" customFormat="1" ht="21" customHeight="1">
      <c r="A58" s="127"/>
      <c r="B58" s="127"/>
      <c r="C58" s="127"/>
      <c r="D58" s="127"/>
      <c r="E58" s="127"/>
      <c r="F58" s="126" t="s">
        <v>6</v>
      </c>
      <c r="G58" s="200"/>
      <c r="H58" s="201"/>
      <c r="I58" s="202"/>
      <c r="J58" s="365">
        <f>SUM(J57:J57)</f>
        <v>29500</v>
      </c>
      <c r="K58" s="204"/>
    </row>
    <row r="59" spans="1:12" s="23" customFormat="1" ht="21" customHeight="1">
      <c r="A59" s="708" t="s">
        <v>214</v>
      </c>
      <c r="B59" s="708"/>
      <c r="C59" s="708"/>
      <c r="D59" s="708"/>
      <c r="E59" s="708"/>
      <c r="F59" s="708"/>
      <c r="G59" s="708"/>
      <c r="H59" s="708"/>
      <c r="I59" s="708"/>
      <c r="J59" s="211">
        <f>J9+J12+J15+J29+J32+J36+J40+J47+J49+J52+J56+J58+J18+J23</f>
        <v>128544.93</v>
      </c>
      <c r="K59" s="212"/>
      <c r="L59" s="38"/>
    </row>
    <row r="60" spans="1:12" s="23" customFormat="1" ht="21" customHeight="1">
      <c r="A60" s="213">
        <v>13</v>
      </c>
      <c r="B60" s="195" t="s">
        <v>257</v>
      </c>
      <c r="C60" s="196" t="s">
        <v>5</v>
      </c>
      <c r="D60" s="196">
        <v>2210</v>
      </c>
      <c r="E60" s="196">
        <v>1518</v>
      </c>
      <c r="F60" s="214" t="s">
        <v>234</v>
      </c>
      <c r="G60" s="196" t="s">
        <v>13</v>
      </c>
      <c r="H60" s="196">
        <v>2</v>
      </c>
      <c r="I60" s="196"/>
      <c r="J60" s="32">
        <v>4</v>
      </c>
      <c r="K60" s="215"/>
      <c r="L60" s="38"/>
    </row>
    <row r="61" spans="1:12" s="23" customFormat="1" ht="21" customHeight="1" thickBot="1">
      <c r="A61" s="198"/>
      <c r="B61" s="216"/>
      <c r="C61" s="198"/>
      <c r="D61" s="198"/>
      <c r="E61" s="198"/>
      <c r="F61" s="217" t="s">
        <v>6</v>
      </c>
      <c r="G61" s="198"/>
      <c r="H61" s="198"/>
      <c r="I61" s="198"/>
      <c r="J61" s="36">
        <f>SUM(J60)</f>
        <v>4</v>
      </c>
      <c r="K61" s="218"/>
      <c r="L61" s="38"/>
    </row>
    <row r="62" spans="1:12" s="23" customFormat="1" ht="21" customHeight="1">
      <c r="A62" s="196">
        <v>14</v>
      </c>
      <c r="B62" s="195" t="s">
        <v>258</v>
      </c>
      <c r="C62" s="196" t="s">
        <v>5</v>
      </c>
      <c r="D62" s="196">
        <v>2210</v>
      </c>
      <c r="E62" s="196" t="s">
        <v>15</v>
      </c>
      <c r="F62" s="214" t="s">
        <v>237</v>
      </c>
      <c r="G62" s="196" t="s">
        <v>13</v>
      </c>
      <c r="H62" s="196">
        <f>7+8</f>
        <v>15</v>
      </c>
      <c r="I62" s="197"/>
      <c r="J62" s="32">
        <f>140+152</f>
        <v>292</v>
      </c>
      <c r="K62" s="215"/>
      <c r="L62" s="38"/>
    </row>
    <row r="63" spans="1:12" s="23" customFormat="1" ht="21" customHeight="1">
      <c r="A63" s="196"/>
      <c r="B63" s="139"/>
      <c r="C63" s="196"/>
      <c r="D63" s="196">
        <v>2210</v>
      </c>
      <c r="E63" s="196">
        <v>1113</v>
      </c>
      <c r="F63" s="214" t="s">
        <v>259</v>
      </c>
      <c r="G63" s="196" t="s">
        <v>43</v>
      </c>
      <c r="H63" s="196">
        <v>10</v>
      </c>
      <c r="I63" s="197"/>
      <c r="J63" s="32">
        <v>4240</v>
      </c>
      <c r="K63" s="215"/>
      <c r="L63" s="38"/>
    </row>
    <row r="64" spans="1:12" s="23" customFormat="1" ht="21" customHeight="1">
      <c r="A64" s="196"/>
      <c r="B64" s="139"/>
      <c r="C64" s="196"/>
      <c r="D64" s="196">
        <v>2220</v>
      </c>
      <c r="E64" s="196">
        <v>1512</v>
      </c>
      <c r="F64" s="214" t="s">
        <v>216</v>
      </c>
      <c r="G64" s="196" t="s">
        <v>13</v>
      </c>
      <c r="H64" s="196">
        <v>8</v>
      </c>
      <c r="I64" s="197"/>
      <c r="J64" s="32">
        <v>2400</v>
      </c>
      <c r="K64" s="215"/>
      <c r="L64" s="38"/>
    </row>
    <row r="65" spans="1:13" s="23" customFormat="1" ht="21" customHeight="1">
      <c r="A65" s="196"/>
      <c r="B65" s="139"/>
      <c r="C65" s="196"/>
      <c r="D65" s="196">
        <v>2210</v>
      </c>
      <c r="E65" s="196">
        <v>1513</v>
      </c>
      <c r="F65" s="214" t="s">
        <v>260</v>
      </c>
      <c r="G65" s="196" t="s">
        <v>43</v>
      </c>
      <c r="H65" s="196">
        <f>6+1</f>
        <v>7</v>
      </c>
      <c r="I65" s="197"/>
      <c r="J65" s="32">
        <f>28375.44+5989.74</f>
        <v>34365.18</v>
      </c>
      <c r="K65" s="215"/>
      <c r="L65" s="38"/>
    </row>
    <row r="66" spans="1:13" s="23" customFormat="1" ht="21" customHeight="1">
      <c r="A66" s="240"/>
      <c r="B66" s="242"/>
      <c r="C66" s="240"/>
      <c r="D66" s="239"/>
      <c r="E66" s="239"/>
      <c r="F66" s="239" t="s">
        <v>117</v>
      </c>
      <c r="G66" s="239"/>
      <c r="H66" s="240"/>
      <c r="I66" s="240"/>
      <c r="J66" s="358">
        <f>SUM(J62:J65)</f>
        <v>41297.18</v>
      </c>
      <c r="K66" s="241"/>
      <c r="L66" s="38"/>
    </row>
    <row r="67" spans="1:13" customFormat="1" ht="21" customHeight="1">
      <c r="A67" s="49">
        <v>15</v>
      </c>
      <c r="B67" s="40" t="s">
        <v>261</v>
      </c>
      <c r="C67" s="367" t="s">
        <v>5</v>
      </c>
      <c r="D67" s="45">
        <v>2210</v>
      </c>
      <c r="E67" s="41">
        <v>1513</v>
      </c>
      <c r="F67" s="41" t="s">
        <v>207</v>
      </c>
      <c r="G67" s="41" t="s">
        <v>43</v>
      </c>
      <c r="H67" s="41">
        <v>3</v>
      </c>
      <c r="I67" s="42"/>
      <c r="J67" s="43">
        <v>18160</v>
      </c>
      <c r="K67" s="220"/>
    </row>
    <row r="68" spans="1:13" customFormat="1" ht="21" customHeight="1">
      <c r="A68" s="49"/>
      <c r="B68" s="40"/>
      <c r="C68" s="368"/>
      <c r="D68" s="45">
        <v>2210</v>
      </c>
      <c r="E68" s="41" t="s">
        <v>15</v>
      </c>
      <c r="F68" s="41" t="s">
        <v>237</v>
      </c>
      <c r="G68" s="41" t="s">
        <v>43</v>
      </c>
      <c r="H68" s="41"/>
      <c r="I68" s="42"/>
      <c r="J68" s="43">
        <v>9269</v>
      </c>
      <c r="K68" s="220"/>
    </row>
    <row r="69" spans="1:13" customFormat="1" ht="21" customHeight="1">
      <c r="A69" s="72"/>
      <c r="B69" s="74"/>
      <c r="C69" s="153"/>
      <c r="D69" s="87"/>
      <c r="E69" s="74"/>
      <c r="F69" s="74" t="s">
        <v>6</v>
      </c>
      <c r="G69" s="74"/>
      <c r="H69" s="74"/>
      <c r="I69" s="88"/>
      <c r="J69" s="366">
        <f>SUM(J67:J68)</f>
        <v>27429</v>
      </c>
      <c r="K69" s="221"/>
    </row>
    <row r="70" spans="1:13" customFormat="1" ht="21" customHeight="1">
      <c r="A70" s="49">
        <v>16</v>
      </c>
      <c r="B70" s="40" t="s">
        <v>262</v>
      </c>
      <c r="C70" s="367" t="s">
        <v>5</v>
      </c>
      <c r="D70" s="45">
        <v>2220</v>
      </c>
      <c r="E70" s="41">
        <v>1512</v>
      </c>
      <c r="F70" s="41" t="s">
        <v>192</v>
      </c>
      <c r="G70" s="41" t="s">
        <v>13</v>
      </c>
      <c r="H70" s="41">
        <v>5</v>
      </c>
      <c r="I70" s="42"/>
      <c r="J70" s="43">
        <v>1150</v>
      </c>
      <c r="K70" s="222"/>
      <c r="M70" s="357"/>
    </row>
    <row r="71" spans="1:13" customFormat="1" ht="21" customHeight="1">
      <c r="A71" s="49"/>
      <c r="B71" s="40"/>
      <c r="C71" s="368"/>
      <c r="D71" s="45">
        <v>2210</v>
      </c>
      <c r="E71" s="41" t="s">
        <v>15</v>
      </c>
      <c r="F71" s="41" t="s">
        <v>220</v>
      </c>
      <c r="G71" s="41" t="s">
        <v>13</v>
      </c>
      <c r="H71" s="41">
        <f>5+3+5+10+10+10</f>
        <v>43</v>
      </c>
      <c r="I71" s="42"/>
      <c r="J71" s="43">
        <f>56+75+200+120+180+200</f>
        <v>831</v>
      </c>
      <c r="K71" s="222"/>
      <c r="L71" s="357"/>
      <c r="M71" s="46"/>
    </row>
    <row r="72" spans="1:13" customFormat="1" ht="21" customHeight="1">
      <c r="A72" s="72"/>
      <c r="B72" s="78"/>
      <c r="C72" s="72"/>
      <c r="D72" s="78"/>
      <c r="E72" s="78"/>
      <c r="F72" s="79" t="s">
        <v>6</v>
      </c>
      <c r="G72" s="80"/>
      <c r="H72" s="141"/>
      <c r="I72" s="81"/>
      <c r="J72" s="369">
        <f>SUM(J70:J71)</f>
        <v>1981</v>
      </c>
      <c r="K72" s="223"/>
    </row>
    <row r="73" spans="1:13" s="1" customFormat="1" ht="21" customHeight="1">
      <c r="A73" s="39"/>
      <c r="B73" s="372" t="s">
        <v>263</v>
      </c>
      <c r="C73" s="373" t="s">
        <v>5</v>
      </c>
      <c r="D73" s="374">
        <v>2220</v>
      </c>
      <c r="E73" s="374">
        <v>1512</v>
      </c>
      <c r="F73" s="146" t="s">
        <v>216</v>
      </c>
      <c r="G73" s="139" t="s">
        <v>43</v>
      </c>
      <c r="H73" s="375">
        <v>2</v>
      </c>
      <c r="I73" s="132"/>
      <c r="J73" s="152">
        <v>720</v>
      </c>
      <c r="K73" s="139"/>
    </row>
    <row r="74" spans="1:13" customFormat="1" ht="21" customHeight="1">
      <c r="A74" s="72"/>
      <c r="B74" s="370"/>
      <c r="C74" s="371"/>
      <c r="D74" s="78"/>
      <c r="E74" s="78"/>
      <c r="F74" s="79" t="s">
        <v>6</v>
      </c>
      <c r="G74" s="80"/>
      <c r="H74" s="141"/>
      <c r="I74" s="81"/>
      <c r="J74" s="369">
        <v>720</v>
      </c>
      <c r="K74" s="223"/>
    </row>
    <row r="75" spans="1:13" s="1" customFormat="1" ht="21" customHeight="1">
      <c r="A75" s="39"/>
      <c r="B75" s="372" t="s">
        <v>264</v>
      </c>
      <c r="C75" s="373" t="s">
        <v>5</v>
      </c>
      <c r="D75" s="374">
        <v>2210</v>
      </c>
      <c r="E75" s="374" t="s">
        <v>15</v>
      </c>
      <c r="F75" s="146" t="s">
        <v>237</v>
      </c>
      <c r="G75" s="146"/>
      <c r="H75" s="146"/>
      <c r="I75" s="140"/>
      <c r="J75" s="152">
        <v>426</v>
      </c>
      <c r="K75" s="139"/>
    </row>
    <row r="76" spans="1:13" s="1" customFormat="1" ht="21" customHeight="1">
      <c r="A76" s="39"/>
      <c r="B76" s="372"/>
      <c r="C76" s="373" t="s">
        <v>265</v>
      </c>
      <c r="D76" s="374">
        <v>2210</v>
      </c>
      <c r="E76" s="374">
        <v>1113</v>
      </c>
      <c r="F76" s="146" t="s">
        <v>266</v>
      </c>
      <c r="G76" s="146" t="s">
        <v>43</v>
      </c>
      <c r="H76" s="146">
        <f>6+2</f>
        <v>8</v>
      </c>
      <c r="I76" s="140"/>
      <c r="J76" s="152">
        <f>24000+4000</f>
        <v>28000</v>
      </c>
      <c r="K76" s="139"/>
    </row>
    <row r="77" spans="1:13" s="1" customFormat="1" ht="21" customHeight="1">
      <c r="A77" s="39"/>
      <c r="B77" s="372"/>
      <c r="C77" s="373" t="s">
        <v>265</v>
      </c>
      <c r="D77" s="374">
        <v>2210</v>
      </c>
      <c r="E77" s="374">
        <v>1113</v>
      </c>
      <c r="F77" s="146" t="s">
        <v>267</v>
      </c>
      <c r="G77" s="146" t="s">
        <v>43</v>
      </c>
      <c r="H77" s="146">
        <v>13</v>
      </c>
      <c r="I77" s="140"/>
      <c r="J77" s="152">
        <f>4500+28000</f>
        <v>32500</v>
      </c>
      <c r="K77" s="139"/>
    </row>
    <row r="78" spans="1:13" s="1" customFormat="1" ht="21" customHeight="1">
      <c r="A78" s="39"/>
      <c r="B78" s="372"/>
      <c r="C78" s="373" t="s">
        <v>265</v>
      </c>
      <c r="D78" s="374">
        <v>2210</v>
      </c>
      <c r="E78" s="374">
        <v>1113</v>
      </c>
      <c r="F78" s="146" t="s">
        <v>268</v>
      </c>
      <c r="G78" s="146" t="s">
        <v>43</v>
      </c>
      <c r="H78" s="146">
        <f>4+1+4</f>
        <v>9</v>
      </c>
      <c r="I78" s="140"/>
      <c r="J78" s="152">
        <f>1800+2300+7200</f>
        <v>11300</v>
      </c>
      <c r="K78" s="139"/>
    </row>
    <row r="79" spans="1:13" s="1" customFormat="1" ht="21" customHeight="1">
      <c r="A79" s="39"/>
      <c r="B79" s="372"/>
      <c r="C79" s="373" t="s">
        <v>5</v>
      </c>
      <c r="D79" s="374">
        <v>2210</v>
      </c>
      <c r="E79" s="374">
        <v>1113</v>
      </c>
      <c r="F79" s="146" t="s">
        <v>53</v>
      </c>
      <c r="G79" s="146" t="s">
        <v>43</v>
      </c>
      <c r="H79" s="146">
        <v>25</v>
      </c>
      <c r="I79" s="140"/>
      <c r="J79" s="152">
        <v>27500</v>
      </c>
      <c r="K79" s="139"/>
    </row>
    <row r="80" spans="1:13" s="1" customFormat="1" ht="21" customHeight="1">
      <c r="A80" s="39"/>
      <c r="B80" s="372"/>
      <c r="C80" s="373"/>
      <c r="D80" s="374">
        <v>2210</v>
      </c>
      <c r="E80" s="374">
        <v>1113</v>
      </c>
      <c r="F80" s="146" t="s">
        <v>269</v>
      </c>
      <c r="G80" s="146" t="s">
        <v>43</v>
      </c>
      <c r="H80" s="146">
        <v>2</v>
      </c>
      <c r="I80" s="140"/>
      <c r="J80" s="152">
        <v>9000</v>
      </c>
      <c r="K80" s="139"/>
    </row>
    <row r="81" spans="1:11" s="1" customFormat="1" ht="21" customHeight="1">
      <c r="A81" s="39"/>
      <c r="B81" s="372"/>
      <c r="C81" s="373"/>
      <c r="D81" s="374">
        <v>2210</v>
      </c>
      <c r="E81" s="374">
        <v>1113</v>
      </c>
      <c r="F81" s="146" t="s">
        <v>270</v>
      </c>
      <c r="G81" s="146" t="s">
        <v>271</v>
      </c>
      <c r="H81" s="146">
        <v>1</v>
      </c>
      <c r="I81" s="140"/>
      <c r="J81" s="152">
        <v>800</v>
      </c>
      <c r="K81" s="139"/>
    </row>
    <row r="82" spans="1:11" s="1" customFormat="1" ht="21" customHeight="1">
      <c r="A82" s="39"/>
      <c r="B82" s="372"/>
      <c r="C82" s="373"/>
      <c r="D82" s="374">
        <v>2210</v>
      </c>
      <c r="E82" s="374">
        <v>1113</v>
      </c>
      <c r="F82" s="146" t="s">
        <v>272</v>
      </c>
      <c r="G82" s="146" t="s">
        <v>271</v>
      </c>
      <c r="H82" s="146">
        <v>1</v>
      </c>
      <c r="I82" s="140"/>
      <c r="J82" s="152">
        <v>1500</v>
      </c>
      <c r="K82" s="139"/>
    </row>
    <row r="83" spans="1:11" s="1" customFormat="1" ht="21" customHeight="1">
      <c r="A83" s="39"/>
      <c r="B83" s="372"/>
      <c r="C83" s="373"/>
      <c r="D83" s="374">
        <v>2210</v>
      </c>
      <c r="E83" s="374">
        <v>1113</v>
      </c>
      <c r="F83" s="146" t="s">
        <v>34</v>
      </c>
      <c r="G83" s="146" t="s">
        <v>144</v>
      </c>
      <c r="H83" s="146">
        <v>2</v>
      </c>
      <c r="I83" s="140"/>
      <c r="J83" s="152">
        <f>68+168</f>
        <v>236</v>
      </c>
      <c r="K83" s="139"/>
    </row>
    <row r="84" spans="1:11" s="252" customFormat="1" ht="21" customHeight="1">
      <c r="A84" s="247"/>
      <c r="B84" s="377"/>
      <c r="C84" s="378"/>
      <c r="D84" s="379"/>
      <c r="E84" s="379"/>
      <c r="F84" s="277"/>
      <c r="G84" s="380"/>
      <c r="H84" s="381"/>
      <c r="I84" s="382"/>
      <c r="J84" s="366">
        <f>SUM(J75:J83)</f>
        <v>111262</v>
      </c>
      <c r="K84" s="383"/>
    </row>
    <row r="85" spans="1:11" s="1" customFormat="1" ht="21" customHeight="1">
      <c r="A85" s="39"/>
      <c r="B85" s="372" t="s">
        <v>273</v>
      </c>
      <c r="C85" s="373" t="s">
        <v>5</v>
      </c>
      <c r="D85" s="374">
        <v>2210</v>
      </c>
      <c r="E85" s="374">
        <v>1113</v>
      </c>
      <c r="F85" s="146" t="s">
        <v>274</v>
      </c>
      <c r="G85" s="139" t="s">
        <v>278</v>
      </c>
      <c r="H85" s="375">
        <v>1</v>
      </c>
      <c r="I85" s="132"/>
      <c r="J85" s="152">
        <v>200</v>
      </c>
      <c r="K85" s="139"/>
    </row>
    <row r="86" spans="1:11" s="1" customFormat="1" ht="21" customHeight="1">
      <c r="A86" s="39"/>
      <c r="B86" s="372"/>
      <c r="C86" s="373"/>
      <c r="D86" s="374">
        <v>2210</v>
      </c>
      <c r="E86" s="374">
        <v>1113</v>
      </c>
      <c r="F86" s="146" t="s">
        <v>275</v>
      </c>
      <c r="G86" s="139" t="s">
        <v>278</v>
      </c>
      <c r="H86" s="375">
        <v>2</v>
      </c>
      <c r="I86" s="132"/>
      <c r="J86" s="152">
        <f>2900+4000</f>
        <v>6900</v>
      </c>
      <c r="K86" s="139"/>
    </row>
    <row r="87" spans="1:11" s="1" customFormat="1" ht="21" customHeight="1">
      <c r="A87" s="39"/>
      <c r="B87" s="372"/>
      <c r="C87" s="373"/>
      <c r="D87" s="374">
        <v>2210</v>
      </c>
      <c r="E87" s="374">
        <v>1113</v>
      </c>
      <c r="F87" s="146" t="s">
        <v>276</v>
      </c>
      <c r="G87" s="139" t="s">
        <v>278</v>
      </c>
      <c r="H87" s="375">
        <v>2</v>
      </c>
      <c r="I87" s="132"/>
      <c r="J87" s="152">
        <f>2000+1600</f>
        <v>3600</v>
      </c>
      <c r="K87" s="139"/>
    </row>
    <row r="88" spans="1:11" s="1" customFormat="1" ht="21" customHeight="1">
      <c r="A88" s="39"/>
      <c r="B88" s="372"/>
      <c r="C88" s="373"/>
      <c r="D88" s="374">
        <v>2210</v>
      </c>
      <c r="E88" s="374">
        <v>1113</v>
      </c>
      <c r="F88" s="146" t="s">
        <v>277</v>
      </c>
      <c r="G88" s="139" t="s">
        <v>278</v>
      </c>
      <c r="H88" s="375">
        <v>1</v>
      </c>
      <c r="I88" s="132"/>
      <c r="J88" s="152">
        <v>700</v>
      </c>
      <c r="K88" s="139"/>
    </row>
    <row r="89" spans="1:11" s="1" customFormat="1" ht="21" customHeight="1">
      <c r="A89" s="39"/>
      <c r="B89" s="372"/>
      <c r="C89" s="373"/>
      <c r="D89" s="374">
        <v>2210</v>
      </c>
      <c r="E89" s="374">
        <v>1113</v>
      </c>
      <c r="F89" s="146" t="s">
        <v>204</v>
      </c>
      <c r="G89" s="139" t="s">
        <v>278</v>
      </c>
      <c r="H89" s="375">
        <f>2+1+1+36+4+1+3+2+1</f>
        <v>51</v>
      </c>
      <c r="I89" s="132"/>
      <c r="J89" s="152">
        <f>1500+3500+1100+20232+10000+3500+6900+1400+1500</f>
        <v>49632</v>
      </c>
      <c r="K89" s="139"/>
    </row>
    <row r="90" spans="1:11" s="1" customFormat="1" ht="21" customHeight="1">
      <c r="A90" s="39"/>
      <c r="B90" s="372"/>
      <c r="C90" s="373"/>
      <c r="D90" s="374">
        <v>2210</v>
      </c>
      <c r="E90" s="374">
        <v>1113</v>
      </c>
      <c r="F90" s="146" t="s">
        <v>203</v>
      </c>
      <c r="G90" s="139" t="s">
        <v>278</v>
      </c>
      <c r="H90" s="375">
        <f>1+1</f>
        <v>2</v>
      </c>
      <c r="I90" s="132"/>
      <c r="J90" s="152">
        <f>678.88+525+229.32</f>
        <v>1433.2</v>
      </c>
      <c r="K90" s="139"/>
    </row>
    <row r="91" spans="1:11" s="1" customFormat="1" ht="21" customHeight="1">
      <c r="A91" s="39"/>
      <c r="B91" s="372"/>
      <c r="C91" s="373"/>
      <c r="D91" s="374">
        <v>2210</v>
      </c>
      <c r="E91" s="374">
        <v>1113</v>
      </c>
      <c r="F91" s="146" t="s">
        <v>279</v>
      </c>
      <c r="G91" s="139" t="s">
        <v>278</v>
      </c>
      <c r="H91" s="375">
        <v>1</v>
      </c>
      <c r="I91" s="132"/>
      <c r="J91" s="152">
        <v>4850</v>
      </c>
      <c r="K91" s="139"/>
    </row>
    <row r="92" spans="1:11" s="1" customFormat="1" ht="21" customHeight="1">
      <c r="A92" s="39"/>
      <c r="B92" s="372"/>
      <c r="C92" s="373"/>
      <c r="D92" s="374">
        <v>2210</v>
      </c>
      <c r="E92" s="374">
        <v>1113</v>
      </c>
      <c r="F92" s="146" t="s">
        <v>280</v>
      </c>
      <c r="G92" s="139" t="s">
        <v>278</v>
      </c>
      <c r="H92" s="375">
        <v>1</v>
      </c>
      <c r="I92" s="132"/>
      <c r="J92" s="152">
        <v>800</v>
      </c>
      <c r="K92" s="139"/>
    </row>
    <row r="93" spans="1:11" s="1" customFormat="1" ht="21" customHeight="1">
      <c r="A93" s="39"/>
      <c r="B93" s="372"/>
      <c r="C93" s="373"/>
      <c r="D93" s="374">
        <v>2210</v>
      </c>
      <c r="E93" s="374">
        <v>1113</v>
      </c>
      <c r="F93" s="146" t="s">
        <v>281</v>
      </c>
      <c r="G93" s="139" t="s">
        <v>278</v>
      </c>
      <c r="H93" s="375">
        <v>1</v>
      </c>
      <c r="I93" s="132"/>
      <c r="J93" s="152">
        <v>250</v>
      </c>
      <c r="K93" s="139"/>
    </row>
    <row r="94" spans="1:11" s="1" customFormat="1" ht="21" customHeight="1">
      <c r="A94" s="39"/>
      <c r="B94" s="372"/>
      <c r="C94" s="373"/>
      <c r="D94" s="374">
        <v>2210</v>
      </c>
      <c r="E94" s="374">
        <v>1113</v>
      </c>
      <c r="F94" s="146" t="s">
        <v>282</v>
      </c>
      <c r="G94" s="139" t="s">
        <v>278</v>
      </c>
      <c r="H94" s="375">
        <v>1</v>
      </c>
      <c r="I94" s="132"/>
      <c r="J94" s="152">
        <v>101</v>
      </c>
      <c r="K94" s="139"/>
    </row>
    <row r="95" spans="1:11" s="252" customFormat="1" ht="21" customHeight="1">
      <c r="A95" s="247"/>
      <c r="B95" s="377"/>
      <c r="C95" s="378"/>
      <c r="D95" s="379"/>
      <c r="E95" s="379"/>
      <c r="F95" s="385"/>
      <c r="G95" s="383"/>
      <c r="H95" s="381"/>
      <c r="I95" s="382"/>
      <c r="J95" s="399">
        <f>SUM(J85:J94)</f>
        <v>68466.2</v>
      </c>
      <c r="K95" s="383"/>
    </row>
    <row r="96" spans="1:11" s="1" customFormat="1" ht="21" customHeight="1">
      <c r="A96" s="39"/>
      <c r="B96" s="372" t="s">
        <v>297</v>
      </c>
      <c r="C96" s="373" t="s">
        <v>5</v>
      </c>
      <c r="D96" s="374">
        <v>2220</v>
      </c>
      <c r="E96" s="374">
        <v>1512</v>
      </c>
      <c r="F96" s="146" t="s">
        <v>216</v>
      </c>
      <c r="G96" s="139" t="s">
        <v>298</v>
      </c>
      <c r="H96" s="375">
        <v>3</v>
      </c>
      <c r="I96" s="132"/>
      <c r="J96" s="152">
        <v>867</v>
      </c>
      <c r="K96" s="139"/>
    </row>
    <row r="97" spans="1:11" s="252" customFormat="1" ht="21" customHeight="1">
      <c r="A97" s="247"/>
      <c r="B97" s="377"/>
      <c r="C97" s="378"/>
      <c r="D97" s="379"/>
      <c r="E97" s="379"/>
      <c r="F97" s="277"/>
      <c r="G97" s="380"/>
      <c r="H97" s="381"/>
      <c r="I97" s="382"/>
      <c r="J97" s="366">
        <f>SUM(J96)</f>
        <v>867</v>
      </c>
      <c r="K97" s="383"/>
    </row>
    <row r="98" spans="1:11" s="1" customFormat="1" ht="21" customHeight="1">
      <c r="A98" s="39"/>
      <c r="B98" s="372" t="s">
        <v>283</v>
      </c>
      <c r="C98" s="373" t="s">
        <v>5</v>
      </c>
      <c r="D98" s="374">
        <v>2210</v>
      </c>
      <c r="E98" s="384">
        <v>1113</v>
      </c>
      <c r="F98" s="146" t="s">
        <v>285</v>
      </c>
      <c r="G98" s="139" t="s">
        <v>43</v>
      </c>
      <c r="H98" s="375">
        <f>1+1+1+1</f>
        <v>4</v>
      </c>
      <c r="I98" s="132"/>
      <c r="J98" s="152">
        <f>800+1800+1650+3000</f>
        <v>7250</v>
      </c>
      <c r="K98" s="139"/>
    </row>
    <row r="99" spans="1:11" s="1" customFormat="1" ht="21" customHeight="1">
      <c r="A99" s="39"/>
      <c r="B99" s="372"/>
      <c r="C99" s="373"/>
      <c r="D99" s="374">
        <v>2210</v>
      </c>
      <c r="E99" s="384">
        <v>1113</v>
      </c>
      <c r="F99" s="146" t="s">
        <v>67</v>
      </c>
      <c r="G99" s="139" t="s">
        <v>43</v>
      </c>
      <c r="H99" s="375">
        <v>1</v>
      </c>
      <c r="I99" s="132"/>
      <c r="J99" s="152">
        <f>200+270</f>
        <v>470</v>
      </c>
      <c r="K99" s="139"/>
    </row>
    <row r="100" spans="1:11" s="1" customFormat="1" ht="21" customHeight="1">
      <c r="A100" s="39"/>
      <c r="B100" s="372"/>
      <c r="C100" s="373"/>
      <c r="D100" s="374">
        <v>2210</v>
      </c>
      <c r="E100" s="384">
        <v>1113</v>
      </c>
      <c r="F100" s="146" t="s">
        <v>284</v>
      </c>
      <c r="G100" s="139" t="s">
        <v>43</v>
      </c>
      <c r="H100" s="375">
        <v>3</v>
      </c>
      <c r="I100" s="132"/>
      <c r="J100" s="152">
        <v>14200</v>
      </c>
      <c r="K100" s="139"/>
    </row>
    <row r="101" spans="1:11" s="1" customFormat="1" ht="21" customHeight="1">
      <c r="A101" s="39"/>
      <c r="B101" s="372"/>
      <c r="C101" s="373"/>
      <c r="D101" s="374">
        <v>2210</v>
      </c>
      <c r="E101" s="384">
        <v>1113</v>
      </c>
      <c r="F101" s="146" t="s">
        <v>53</v>
      </c>
      <c r="G101" s="139" t="s">
        <v>43</v>
      </c>
      <c r="H101" s="375">
        <v>4</v>
      </c>
      <c r="I101" s="132"/>
      <c r="J101" s="152">
        <v>9000</v>
      </c>
      <c r="K101" s="139"/>
    </row>
    <row r="102" spans="1:11" s="1" customFormat="1" ht="21" customHeight="1">
      <c r="A102" s="39"/>
      <c r="B102" s="372"/>
      <c r="C102" s="373"/>
      <c r="D102" s="374">
        <v>2210</v>
      </c>
      <c r="E102" s="384">
        <v>1113</v>
      </c>
      <c r="F102" s="146" t="s">
        <v>275</v>
      </c>
      <c r="G102" s="139" t="s">
        <v>43</v>
      </c>
      <c r="H102" s="375">
        <v>1</v>
      </c>
      <c r="I102" s="132"/>
      <c r="J102" s="152">
        <v>5000</v>
      </c>
      <c r="K102" s="139"/>
    </row>
    <row r="103" spans="1:11" s="1" customFormat="1" ht="21" customHeight="1">
      <c r="A103" s="39"/>
      <c r="B103" s="372"/>
      <c r="C103" s="373"/>
      <c r="D103" s="374">
        <v>2210</v>
      </c>
      <c r="E103" s="384" t="s">
        <v>15</v>
      </c>
      <c r="F103" s="146" t="s">
        <v>286</v>
      </c>
      <c r="G103" s="139"/>
      <c r="H103" s="375"/>
      <c r="I103" s="132"/>
      <c r="J103" s="152">
        <f>460+100+100</f>
        <v>660</v>
      </c>
      <c r="K103" s="139"/>
    </row>
    <row r="104" spans="1:11" s="1" customFormat="1" ht="21" customHeight="1">
      <c r="A104" s="39"/>
      <c r="B104" s="372"/>
      <c r="C104" s="373"/>
      <c r="D104" s="374">
        <v>2220</v>
      </c>
      <c r="E104" s="384">
        <v>1512</v>
      </c>
      <c r="F104" s="146" t="s">
        <v>216</v>
      </c>
      <c r="G104" s="139" t="s">
        <v>13</v>
      </c>
      <c r="H104" s="375">
        <v>7</v>
      </c>
      <c r="I104" s="132"/>
      <c r="J104" s="152">
        <v>1400</v>
      </c>
      <c r="K104" s="139"/>
    </row>
    <row r="105" spans="1:11" s="252" customFormat="1" ht="21" customHeight="1">
      <c r="A105" s="247"/>
      <c r="B105" s="377"/>
      <c r="C105" s="378"/>
      <c r="D105" s="379"/>
      <c r="E105" s="379"/>
      <c r="F105" s="277"/>
      <c r="G105" s="380"/>
      <c r="H105" s="381"/>
      <c r="I105" s="382"/>
      <c r="J105" s="366">
        <f>SUM(J98:J104)</f>
        <v>37980</v>
      </c>
      <c r="K105" s="383"/>
    </row>
    <row r="106" spans="1:11" s="1" customFormat="1" ht="21" customHeight="1">
      <c r="A106" s="39"/>
      <c r="B106" s="372" t="s">
        <v>287</v>
      </c>
      <c r="C106" s="373"/>
      <c r="D106" s="374">
        <v>2210</v>
      </c>
      <c r="E106" s="374" t="s">
        <v>15</v>
      </c>
      <c r="F106" s="146" t="s">
        <v>288</v>
      </c>
      <c r="G106" s="139" t="s">
        <v>289</v>
      </c>
      <c r="H106" s="146">
        <v>12</v>
      </c>
      <c r="I106" s="132"/>
      <c r="J106" s="376">
        <v>145.19999999999999</v>
      </c>
      <c r="K106" s="139"/>
    </row>
    <row r="107" spans="1:11" s="1" customFormat="1" ht="21" customHeight="1">
      <c r="A107" s="39"/>
      <c r="B107" s="372"/>
      <c r="C107" s="373"/>
      <c r="D107" s="374">
        <v>2210</v>
      </c>
      <c r="E107" s="374">
        <v>1113</v>
      </c>
      <c r="F107" s="146" t="s">
        <v>246</v>
      </c>
      <c r="G107" s="139" t="s">
        <v>43</v>
      </c>
      <c r="H107" s="375">
        <v>8</v>
      </c>
      <c r="I107" s="132"/>
      <c r="J107" s="376">
        <v>2384</v>
      </c>
      <c r="K107" s="139"/>
    </row>
    <row r="108" spans="1:11" s="1" customFormat="1" ht="21" customHeight="1">
      <c r="A108" s="39"/>
      <c r="B108" s="372"/>
      <c r="C108" s="373"/>
      <c r="D108" s="374">
        <v>2210</v>
      </c>
      <c r="E108" s="374">
        <v>1113</v>
      </c>
      <c r="F108" s="146" t="s">
        <v>290</v>
      </c>
      <c r="G108" s="139" t="s">
        <v>43</v>
      </c>
      <c r="H108" s="375">
        <v>2</v>
      </c>
      <c r="I108" s="132"/>
      <c r="J108" s="376">
        <v>50</v>
      </c>
      <c r="K108" s="139"/>
    </row>
    <row r="109" spans="1:11" s="1" customFormat="1" ht="21" customHeight="1">
      <c r="A109" s="39"/>
      <c r="B109" s="372"/>
      <c r="C109" s="373"/>
      <c r="D109" s="374">
        <v>2210</v>
      </c>
      <c r="E109" s="374">
        <v>1113</v>
      </c>
      <c r="F109" s="146" t="s">
        <v>275</v>
      </c>
      <c r="G109" s="139" t="s">
        <v>43</v>
      </c>
      <c r="H109" s="375">
        <v>1</v>
      </c>
      <c r="I109" s="132"/>
      <c r="J109" s="376">
        <v>130</v>
      </c>
      <c r="K109" s="139"/>
    </row>
    <row r="110" spans="1:11" s="1" customFormat="1" ht="21" customHeight="1">
      <c r="A110" s="39"/>
      <c r="B110" s="372"/>
      <c r="C110" s="373"/>
      <c r="D110" s="374">
        <v>2210</v>
      </c>
      <c r="E110" s="374">
        <v>1113</v>
      </c>
      <c r="F110" s="146" t="s">
        <v>291</v>
      </c>
      <c r="G110" s="139" t="s">
        <v>43</v>
      </c>
      <c r="H110" s="375">
        <v>1</v>
      </c>
      <c r="I110" s="132"/>
      <c r="J110" s="376">
        <v>150</v>
      </c>
      <c r="K110" s="139"/>
    </row>
    <row r="111" spans="1:11" s="252" customFormat="1" ht="21" customHeight="1">
      <c r="A111" s="247"/>
      <c r="B111" s="377"/>
      <c r="C111" s="378"/>
      <c r="D111" s="379"/>
      <c r="E111" s="379"/>
      <c r="F111" s="385"/>
      <c r="G111" s="383"/>
      <c r="H111" s="381"/>
      <c r="I111" s="382"/>
      <c r="J111" s="386">
        <f>SUM(J106:J110)</f>
        <v>2859.2</v>
      </c>
      <c r="K111" s="383"/>
    </row>
    <row r="112" spans="1:11" s="1" customFormat="1" ht="21" customHeight="1">
      <c r="A112" s="39"/>
      <c r="B112" s="372" t="s">
        <v>292</v>
      </c>
      <c r="C112" s="373"/>
      <c r="D112" s="374">
        <v>2210</v>
      </c>
      <c r="E112" s="374">
        <v>1113</v>
      </c>
      <c r="F112" s="146" t="s">
        <v>205</v>
      </c>
      <c r="G112" s="139" t="s">
        <v>43</v>
      </c>
      <c r="H112" s="375">
        <v>2</v>
      </c>
      <c r="I112" s="132"/>
      <c r="J112" s="152">
        <f>4800+3650</f>
        <v>8450</v>
      </c>
      <c r="K112" s="139"/>
    </row>
    <row r="113" spans="1:13" s="1" customFormat="1" ht="21" customHeight="1">
      <c r="A113" s="39"/>
      <c r="B113" s="372"/>
      <c r="C113" s="373"/>
      <c r="D113" s="374">
        <v>2210</v>
      </c>
      <c r="E113" s="374">
        <v>1113</v>
      </c>
      <c r="F113" s="146" t="s">
        <v>67</v>
      </c>
      <c r="G113" s="139" t="s">
        <v>43</v>
      </c>
      <c r="H113" s="375">
        <v>1</v>
      </c>
      <c r="I113" s="132"/>
      <c r="J113" s="152">
        <v>1800</v>
      </c>
      <c r="K113" s="139"/>
    </row>
    <row r="114" spans="1:13" s="252" customFormat="1" ht="21" customHeight="1">
      <c r="A114" s="247"/>
      <c r="B114" s="377"/>
      <c r="C114" s="378"/>
      <c r="D114" s="379"/>
      <c r="E114" s="379"/>
      <c r="F114" s="385"/>
      <c r="G114" s="383"/>
      <c r="H114" s="381"/>
      <c r="I114" s="382"/>
      <c r="J114" s="386">
        <f>SUM(J112:J113)</f>
        <v>10250</v>
      </c>
      <c r="K114" s="383"/>
    </row>
    <row r="115" spans="1:13" s="1" customFormat="1" ht="21" customHeight="1">
      <c r="A115" s="39"/>
      <c r="B115" s="372" t="s">
        <v>24</v>
      </c>
      <c r="C115" s="373"/>
      <c r="D115" s="374">
        <v>2210</v>
      </c>
      <c r="E115" s="374">
        <v>1113</v>
      </c>
      <c r="F115" s="146" t="s">
        <v>93</v>
      </c>
      <c r="G115" s="139" t="s">
        <v>43</v>
      </c>
      <c r="H115" s="375">
        <v>1</v>
      </c>
      <c r="I115" s="132"/>
      <c r="J115" s="152">
        <v>2888</v>
      </c>
      <c r="K115" s="139"/>
    </row>
    <row r="116" spans="1:13" s="1" customFormat="1" ht="21" customHeight="1">
      <c r="A116" s="39"/>
      <c r="B116" s="372"/>
      <c r="C116" s="373"/>
      <c r="D116" s="374">
        <v>2210</v>
      </c>
      <c r="E116" s="374">
        <v>1113</v>
      </c>
      <c r="F116" s="146" t="s">
        <v>293</v>
      </c>
      <c r="G116" s="139" t="s">
        <v>43</v>
      </c>
      <c r="H116" s="375">
        <v>1</v>
      </c>
      <c r="I116" s="132"/>
      <c r="J116" s="152">
        <v>2500</v>
      </c>
      <c r="K116" s="139"/>
    </row>
    <row r="117" spans="1:13" s="1" customFormat="1" ht="21" customHeight="1">
      <c r="A117" s="39"/>
      <c r="B117" s="372"/>
      <c r="C117" s="373"/>
      <c r="D117" s="374">
        <v>2210</v>
      </c>
      <c r="E117" s="374" t="s">
        <v>15</v>
      </c>
      <c r="F117" s="146" t="s">
        <v>294</v>
      </c>
      <c r="G117" s="139" t="s">
        <v>43</v>
      </c>
      <c r="H117" s="375">
        <v>17</v>
      </c>
      <c r="I117" s="132"/>
      <c r="J117" s="152">
        <v>3485</v>
      </c>
      <c r="K117" s="139"/>
    </row>
    <row r="118" spans="1:13" s="252" customFormat="1" ht="21" customHeight="1">
      <c r="A118" s="247"/>
      <c r="B118" s="377"/>
      <c r="C118" s="378"/>
      <c r="D118" s="379"/>
      <c r="E118" s="379"/>
      <c r="F118" s="385"/>
      <c r="G118" s="383"/>
      <c r="H118" s="381"/>
      <c r="I118" s="382"/>
      <c r="J118" s="386">
        <f>SUM(J115:J117)</f>
        <v>8873</v>
      </c>
      <c r="K118" s="383"/>
    </row>
    <row r="119" spans="1:13" customFormat="1" ht="21" customHeight="1">
      <c r="A119" s="7">
        <v>18</v>
      </c>
      <c r="B119" s="225" t="s">
        <v>146</v>
      </c>
      <c r="C119" s="226" t="s">
        <v>5</v>
      </c>
      <c r="D119" s="10">
        <v>2210</v>
      </c>
      <c r="E119" s="10" t="s">
        <v>15</v>
      </c>
      <c r="F119" s="10" t="s">
        <v>221</v>
      </c>
      <c r="G119" s="10" t="s">
        <v>13</v>
      </c>
      <c r="H119" s="10">
        <v>20</v>
      </c>
      <c r="I119" s="9"/>
      <c r="J119" s="152">
        <v>400</v>
      </c>
      <c r="K119" s="228"/>
    </row>
    <row r="120" spans="1:13" customFormat="1" ht="21" customHeight="1">
      <c r="A120" s="224"/>
      <c r="B120" s="230"/>
      <c r="C120" s="231"/>
      <c r="D120" s="231"/>
      <c r="E120" s="231"/>
      <c r="F120" s="79" t="s">
        <v>6</v>
      </c>
      <c r="G120" s="83"/>
      <c r="H120" s="84"/>
      <c r="I120" s="85"/>
      <c r="J120" s="244">
        <f>SUM(J119:J119)</f>
        <v>400</v>
      </c>
      <c r="K120" s="232"/>
    </row>
    <row r="121" spans="1:13" customFormat="1" ht="21" customHeight="1">
      <c r="A121" s="146">
        <v>18</v>
      </c>
      <c r="B121" s="233" t="s">
        <v>222</v>
      </c>
      <c r="C121" s="147" t="s">
        <v>5</v>
      </c>
      <c r="D121" s="147">
        <v>2210</v>
      </c>
      <c r="E121" s="147">
        <v>1113</v>
      </c>
      <c r="F121" s="146" t="s">
        <v>295</v>
      </c>
      <c r="G121" s="35" t="s">
        <v>43</v>
      </c>
      <c r="H121" s="147">
        <v>1</v>
      </c>
      <c r="I121" s="140"/>
      <c r="J121" s="152">
        <v>1799</v>
      </c>
      <c r="K121" s="199"/>
    </row>
    <row r="122" spans="1:13" s="394" customFormat="1" ht="21" customHeight="1">
      <c r="A122" s="387"/>
      <c r="B122" s="388"/>
      <c r="C122" s="389"/>
      <c r="D122" s="389"/>
      <c r="E122" s="389"/>
      <c r="F122" s="387"/>
      <c r="G122" s="390"/>
      <c r="H122" s="389"/>
      <c r="I122" s="391"/>
      <c r="J122" s="392">
        <f>SUM(J121)</f>
        <v>1799</v>
      </c>
      <c r="K122" s="393"/>
    </row>
    <row r="123" spans="1:13" customFormat="1" ht="21" customHeight="1">
      <c r="A123" s="68"/>
      <c r="B123" s="148"/>
      <c r="C123" s="149"/>
      <c r="D123" s="149"/>
      <c r="E123" s="149"/>
      <c r="F123" s="150" t="s">
        <v>44</v>
      </c>
      <c r="G123" s="69"/>
      <c r="H123" s="142"/>
      <c r="I123" s="70"/>
      <c r="J123" s="71">
        <f>J122+J120+J118+J114+J111+J105+J97+J84+J74+J72+J69+J66+J61+J95</f>
        <v>314187.58</v>
      </c>
      <c r="K123" s="115"/>
      <c r="L123" s="357"/>
      <c r="M123" s="357"/>
    </row>
    <row r="124" spans="1:13" s="1" customFormat="1" ht="21" customHeight="1">
      <c r="A124" s="39"/>
      <c r="B124" s="269" t="s">
        <v>299</v>
      </c>
      <c r="C124" s="269" t="s">
        <v>300</v>
      </c>
      <c r="D124" s="269">
        <v>2210</v>
      </c>
      <c r="E124" s="269">
        <v>1113</v>
      </c>
      <c r="F124" s="395" t="s">
        <v>301</v>
      </c>
      <c r="G124" s="396"/>
      <c r="H124" s="269"/>
      <c r="I124" s="397"/>
      <c r="J124" s="152">
        <v>1000</v>
      </c>
      <c r="K124" s="398"/>
      <c r="L124" s="356"/>
      <c r="M124" s="356"/>
    </row>
    <row r="125" spans="1:13" s="394" customFormat="1" ht="21" customHeight="1">
      <c r="A125" s="400"/>
      <c r="B125" s="401"/>
      <c r="C125" s="401"/>
      <c r="D125" s="401"/>
      <c r="E125" s="401"/>
      <c r="F125" s="402"/>
      <c r="G125" s="403"/>
      <c r="H125" s="401"/>
      <c r="I125" s="404"/>
      <c r="J125" s="407">
        <f>SUM(J124)</f>
        <v>1000</v>
      </c>
      <c r="K125" s="405"/>
      <c r="L125" s="406"/>
      <c r="M125" s="406"/>
    </row>
    <row r="126" spans="1:13" s="1" customFormat="1" ht="21" customHeight="1">
      <c r="A126" s="39"/>
      <c r="B126" s="269" t="s">
        <v>302</v>
      </c>
      <c r="C126" s="269" t="s">
        <v>304</v>
      </c>
      <c r="D126" s="269">
        <v>2210</v>
      </c>
      <c r="E126" s="269">
        <v>2213</v>
      </c>
      <c r="F126" s="269" t="s">
        <v>303</v>
      </c>
      <c r="G126" s="396"/>
      <c r="H126" s="269"/>
      <c r="I126" s="397"/>
      <c r="J126" s="152">
        <v>300</v>
      </c>
      <c r="K126" s="398"/>
      <c r="L126" s="356"/>
      <c r="M126" s="356"/>
    </row>
    <row r="127" spans="1:13" s="394" customFormat="1" ht="21" customHeight="1">
      <c r="A127" s="400"/>
      <c r="B127" s="401"/>
      <c r="C127" s="401"/>
      <c r="D127" s="401"/>
      <c r="E127" s="401"/>
      <c r="F127" s="402"/>
      <c r="G127" s="403"/>
      <c r="H127" s="401"/>
      <c r="I127" s="404"/>
      <c r="J127" s="407">
        <f>SUM(J126)</f>
        <v>300</v>
      </c>
      <c r="K127" s="405"/>
      <c r="L127" s="406"/>
      <c r="M127" s="406"/>
    </row>
    <row r="128" spans="1:13" s="1" customFormat="1" ht="21" customHeight="1">
      <c r="A128" s="72"/>
      <c r="B128" s="89"/>
      <c r="C128" s="89"/>
      <c r="D128" s="89"/>
      <c r="E128" s="89"/>
      <c r="F128" s="75" t="s">
        <v>6</v>
      </c>
      <c r="G128" s="75"/>
      <c r="H128" s="75"/>
      <c r="I128" s="76"/>
      <c r="J128" s="244">
        <f>J127+J125</f>
        <v>1300</v>
      </c>
      <c r="K128" s="117"/>
      <c r="L128" s="356"/>
      <c r="M128" s="357"/>
    </row>
    <row r="129" spans="1:13" customFormat="1" ht="21.75" customHeight="1" thickBot="1">
      <c r="A129" s="68"/>
      <c r="B129" s="704" t="s">
        <v>296</v>
      </c>
      <c r="C129" s="705"/>
      <c r="D129" s="705"/>
      <c r="E129" s="705"/>
      <c r="F129" s="706"/>
      <c r="G129" s="91"/>
      <c r="H129" s="143"/>
      <c r="I129" s="92"/>
      <c r="J129" s="93">
        <f>J59+J123+J128</f>
        <v>444032.51</v>
      </c>
      <c r="K129" s="102"/>
      <c r="L129" s="357"/>
      <c r="M129" s="357"/>
    </row>
    <row r="130" spans="1:13" s="1" customFormat="1" ht="21.75" customHeight="1">
      <c r="A130" s="180"/>
      <c r="B130" s="181"/>
      <c r="C130" s="181"/>
      <c r="D130" s="181"/>
      <c r="E130" s="181"/>
      <c r="F130" s="181"/>
      <c r="G130" s="182"/>
      <c r="H130" s="181"/>
      <c r="I130" s="182"/>
      <c r="J130" s="183"/>
      <c r="K130" s="184"/>
    </row>
    <row r="131" spans="1:13" s="1" customFormat="1" ht="21.75" customHeight="1">
      <c r="A131" s="180"/>
      <c r="B131" s="181"/>
      <c r="C131" s="181"/>
      <c r="D131" s="181"/>
      <c r="E131" s="181"/>
      <c r="F131" s="181"/>
      <c r="G131" s="182"/>
      <c r="H131" s="181"/>
      <c r="I131" s="182"/>
      <c r="J131" s="183"/>
      <c r="K131" s="184"/>
    </row>
    <row r="132" spans="1:13" customFormat="1" ht="18.75">
      <c r="A132" s="62"/>
      <c r="B132" s="707" t="s">
        <v>305</v>
      </c>
      <c r="C132" s="707"/>
      <c r="D132" s="707"/>
      <c r="E132" s="63"/>
      <c r="F132" s="179"/>
      <c r="G132" s="63"/>
      <c r="H132" s="64"/>
      <c r="I132" s="63"/>
      <c r="J132" s="65"/>
      <c r="K132" s="118"/>
    </row>
    <row r="133" spans="1:13" customFormat="1" ht="18.75">
      <c r="A133" s="62"/>
      <c r="B133" s="707"/>
      <c r="C133" s="707"/>
      <c r="D133" s="707"/>
      <c r="E133" s="707"/>
      <c r="F133" s="66"/>
      <c r="G133" s="63"/>
      <c r="H133" s="64"/>
      <c r="I133" s="63"/>
      <c r="J133" s="65"/>
      <c r="K133" s="118"/>
    </row>
    <row r="134" spans="1:13" ht="18.75">
      <c r="A134" s="25"/>
      <c r="B134" s="26"/>
      <c r="C134" s="26"/>
      <c r="D134" s="26"/>
      <c r="E134" s="26"/>
      <c r="F134" s="26"/>
      <c r="G134" s="26"/>
      <c r="H134" s="26"/>
      <c r="I134" s="27"/>
      <c r="J134" s="26"/>
      <c r="K134" s="119"/>
    </row>
    <row r="135" spans="1:13" ht="18.75">
      <c r="A135" s="25"/>
      <c r="B135" s="26"/>
      <c r="C135" s="26"/>
      <c r="D135" s="26"/>
      <c r="E135" s="26"/>
      <c r="F135" s="26"/>
      <c r="G135" s="26"/>
      <c r="H135" s="26"/>
      <c r="I135" s="27"/>
      <c r="J135" s="26"/>
      <c r="K135" s="119"/>
    </row>
    <row r="136" spans="1:13" ht="18.75">
      <c r="A136" s="25"/>
      <c r="B136" s="26"/>
      <c r="C136" s="26"/>
      <c r="D136" s="26"/>
      <c r="E136" s="26"/>
      <c r="F136" s="26"/>
      <c r="G136" s="26"/>
      <c r="H136" s="26"/>
      <c r="I136" s="27"/>
      <c r="J136" s="26"/>
      <c r="K136" s="119"/>
    </row>
    <row r="137" spans="1:13" ht="18.75">
      <c r="A137" s="25"/>
      <c r="B137" s="25"/>
      <c r="C137" s="25"/>
      <c r="D137" s="25"/>
      <c r="E137" s="25"/>
      <c r="F137" s="26"/>
      <c r="G137" s="25"/>
      <c r="H137" s="26"/>
      <c r="I137" s="30"/>
      <c r="J137" s="25"/>
      <c r="K137" s="120"/>
    </row>
    <row r="138" spans="1:13" ht="18.75">
      <c r="A138" s="25"/>
      <c r="B138" s="25"/>
      <c r="C138" s="25"/>
      <c r="D138" s="25"/>
      <c r="E138" s="25"/>
      <c r="F138" s="26"/>
      <c r="G138" s="25"/>
      <c r="H138" s="26"/>
      <c r="I138" s="30"/>
      <c r="J138" s="25"/>
      <c r="K138" s="120"/>
    </row>
    <row r="139" spans="1:13" ht="18.75">
      <c r="A139" s="25"/>
      <c r="B139" s="25"/>
      <c r="C139" s="25"/>
      <c r="D139" s="25"/>
      <c r="E139" s="25"/>
      <c r="F139" s="26"/>
      <c r="G139" s="25"/>
      <c r="H139" s="26"/>
      <c r="I139" s="30"/>
      <c r="J139" s="25"/>
      <c r="K139" s="120"/>
    </row>
    <row r="140" spans="1:13" ht="18.75">
      <c r="A140" s="24"/>
      <c r="B140" s="24"/>
      <c r="C140" s="24"/>
      <c r="D140" s="24"/>
      <c r="E140" s="24"/>
      <c r="F140" s="144"/>
      <c r="G140" s="24"/>
      <c r="H140" s="144"/>
      <c r="I140" s="33"/>
      <c r="J140" s="24"/>
    </row>
    <row r="141" spans="1:13" ht="18.75">
      <c r="A141" s="24"/>
      <c r="B141" s="24"/>
      <c r="C141" s="24"/>
      <c r="D141" s="24"/>
      <c r="E141" s="24"/>
      <c r="F141" s="144"/>
      <c r="G141" s="24"/>
      <c r="H141" s="144"/>
      <c r="I141" s="33"/>
      <c r="J141" s="24"/>
    </row>
    <row r="142" spans="1:13" ht="18.75">
      <c r="A142" s="24"/>
      <c r="B142" s="24"/>
      <c r="C142" s="24"/>
      <c r="D142" s="24"/>
      <c r="E142" s="24"/>
      <c r="F142" s="144"/>
      <c r="G142" s="24"/>
      <c r="H142" s="144"/>
      <c r="I142" s="33"/>
      <c r="J142" s="24"/>
    </row>
    <row r="143" spans="1:13" ht="18.75">
      <c r="A143" s="24"/>
      <c r="B143" s="24"/>
      <c r="C143" s="24"/>
      <c r="D143" s="24"/>
      <c r="E143" s="24"/>
      <c r="F143" s="144"/>
      <c r="G143" s="24"/>
      <c r="H143" s="144"/>
      <c r="I143" s="33"/>
      <c r="J143" s="24"/>
    </row>
    <row r="144" spans="1:13" ht="18.75">
      <c r="A144" s="24"/>
      <c r="B144" s="24"/>
      <c r="C144" s="24"/>
      <c r="D144" s="24"/>
      <c r="E144" s="24"/>
      <c r="F144" s="144"/>
      <c r="G144" s="24"/>
      <c r="H144" s="144"/>
      <c r="I144" s="33"/>
      <c r="J144" s="24"/>
    </row>
    <row r="145" spans="1:10" ht="18.75">
      <c r="A145" s="24"/>
      <c r="B145" s="24"/>
      <c r="C145" s="24"/>
      <c r="D145" s="24"/>
      <c r="E145" s="24"/>
      <c r="F145" s="144"/>
      <c r="G145" s="24"/>
      <c r="H145" s="144"/>
      <c r="I145" s="33"/>
      <c r="J145" s="24"/>
    </row>
    <row r="146" spans="1:10" ht="18.75">
      <c r="A146" s="24"/>
      <c r="B146" s="24"/>
      <c r="C146" s="24"/>
      <c r="D146" s="24"/>
      <c r="E146" s="24"/>
      <c r="F146" s="144"/>
      <c r="G146" s="24"/>
      <c r="H146" s="144"/>
      <c r="I146" s="33"/>
      <c r="J146" s="24"/>
    </row>
    <row r="147" spans="1:10" ht="18.75">
      <c r="A147" s="24"/>
      <c r="B147" s="24"/>
      <c r="C147" s="24"/>
      <c r="D147" s="24"/>
      <c r="E147" s="24"/>
      <c r="F147" s="144"/>
      <c r="G147" s="24"/>
      <c r="H147" s="144"/>
      <c r="I147" s="33"/>
      <c r="J147" s="24"/>
    </row>
    <row r="148" spans="1:10" ht="18.75">
      <c r="A148" s="24"/>
      <c r="B148" s="24"/>
      <c r="C148" s="24"/>
      <c r="D148" s="24"/>
      <c r="E148" s="24"/>
      <c r="F148" s="144"/>
      <c r="G148" s="24"/>
      <c r="H148" s="144"/>
      <c r="I148" s="33"/>
      <c r="J148" s="24"/>
    </row>
    <row r="149" spans="1:10" ht="18.75">
      <c r="A149" s="24"/>
      <c r="B149" s="24"/>
      <c r="C149" s="24"/>
      <c r="D149" s="24"/>
      <c r="E149" s="24"/>
      <c r="F149" s="144"/>
      <c r="G149" s="24"/>
      <c r="H149" s="144"/>
      <c r="I149" s="33"/>
      <c r="J149" s="24"/>
    </row>
    <row r="150" spans="1:10" ht="18.75">
      <c r="A150" s="24"/>
      <c r="B150" s="24"/>
      <c r="C150" s="24"/>
      <c r="D150" s="24"/>
      <c r="E150" s="24"/>
      <c r="F150" s="144"/>
      <c r="G150" s="24"/>
      <c r="H150" s="144"/>
      <c r="I150" s="33"/>
      <c r="J150" s="24"/>
    </row>
    <row r="151" spans="1:10" ht="18.75">
      <c r="A151" s="24"/>
      <c r="B151" s="24"/>
      <c r="C151" s="24"/>
      <c r="D151" s="24"/>
      <c r="E151" s="24"/>
      <c r="F151" s="144"/>
      <c r="G151" s="24"/>
      <c r="H151" s="144"/>
      <c r="I151" s="33"/>
      <c r="J151" s="24"/>
    </row>
    <row r="152" spans="1:10" ht="18.75">
      <c r="A152" s="24"/>
      <c r="B152" s="24"/>
      <c r="C152" s="24"/>
      <c r="D152" s="24"/>
      <c r="E152" s="24"/>
      <c r="F152" s="144"/>
      <c r="G152" s="24"/>
      <c r="H152" s="144"/>
      <c r="I152" s="33"/>
      <c r="J152" s="24"/>
    </row>
    <row r="153" spans="1:10" ht="18.75">
      <c r="A153" s="24"/>
      <c r="B153" s="24"/>
      <c r="C153" s="24"/>
      <c r="D153" s="24"/>
      <c r="E153" s="24"/>
      <c r="F153" s="144"/>
      <c r="G153" s="24"/>
      <c r="H153" s="144"/>
      <c r="I153" s="33"/>
      <c r="J153" s="24"/>
    </row>
    <row r="154" spans="1:10" ht="18.75">
      <c r="A154" s="24"/>
      <c r="B154" s="24"/>
      <c r="C154" s="24"/>
      <c r="D154" s="24"/>
      <c r="E154" s="24"/>
      <c r="F154" s="144"/>
      <c r="G154" s="24"/>
      <c r="H154" s="144"/>
      <c r="I154" s="33"/>
      <c r="J154" s="24"/>
    </row>
    <row r="155" spans="1:10" ht="18.75">
      <c r="A155" s="24"/>
      <c r="B155" s="24"/>
      <c r="C155" s="24"/>
      <c r="D155" s="24"/>
      <c r="E155" s="24"/>
      <c r="F155" s="144"/>
      <c r="G155" s="24"/>
      <c r="H155" s="144"/>
      <c r="I155" s="33"/>
      <c r="J155" s="24"/>
    </row>
    <row r="156" spans="1:10" ht="18.75">
      <c r="A156" s="24"/>
      <c r="B156" s="24"/>
      <c r="C156" s="24"/>
      <c r="D156" s="24"/>
      <c r="E156" s="24"/>
      <c r="F156" s="144"/>
      <c r="G156" s="24"/>
      <c r="H156" s="144"/>
      <c r="I156" s="33"/>
      <c r="J156" s="24"/>
    </row>
  </sheetData>
  <mergeCells count="5">
    <mergeCell ref="B132:D132"/>
    <mergeCell ref="B133:E133"/>
    <mergeCell ref="A1:J1"/>
    <mergeCell ref="A59:I59"/>
    <mergeCell ref="B129:F129"/>
  </mergeCells>
  <phoneticPr fontId="21" type="noConversion"/>
  <pageMargins left="0.75" right="0.75" top="1" bottom="1" header="0.5" footer="0.5"/>
  <pageSetup paperSize="9" scale="60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/>
  <dimension ref="A1:M157"/>
  <sheetViews>
    <sheetView view="pageBreakPreview" topLeftCell="A105" zoomScale="60" zoomScaleNormal="100" workbookViewId="0">
      <selection activeCell="C56" sqref="C56:J61"/>
    </sheetView>
  </sheetViews>
  <sheetFormatPr defaultRowHeight="18.75"/>
  <cols>
    <col min="1" max="1" width="6.7109375" style="24" customWidth="1"/>
    <col min="2" max="2" width="18.140625" style="144" customWidth="1"/>
    <col min="3" max="3" width="29.42578125" style="144" customWidth="1"/>
    <col min="4" max="4" width="8.140625" style="144" customWidth="1"/>
    <col min="5" max="5" width="10.5703125" style="144" customWidth="1"/>
    <col min="6" max="6" width="60.85546875" style="144" customWidth="1"/>
    <col min="7" max="7" width="13.140625" style="144" customWidth="1"/>
    <col min="8" max="8" width="12.7109375" style="144" customWidth="1"/>
    <col min="9" max="9" width="14.140625" style="33" customWidth="1"/>
    <col min="10" max="10" width="21.140625" style="431" customWidth="1"/>
    <col min="11" max="11" width="11.42578125" style="439" customWidth="1"/>
    <col min="12" max="12" width="10.7109375" style="439" bestFit="1" customWidth="1"/>
    <col min="13" max="16384" width="9.140625" style="439"/>
  </cols>
  <sheetData>
    <row r="1" spans="1:13" s="24" customFormat="1" ht="29.25" customHeight="1" thickBot="1">
      <c r="A1" s="720" t="s">
        <v>364</v>
      </c>
      <c r="B1" s="720"/>
      <c r="C1" s="720"/>
      <c r="D1" s="720"/>
      <c r="E1" s="720"/>
      <c r="F1" s="720"/>
      <c r="G1" s="720"/>
      <c r="H1" s="720"/>
      <c r="I1" s="720"/>
      <c r="J1" s="720"/>
      <c r="K1" s="435"/>
    </row>
    <row r="2" spans="1:13" s="24" customFormat="1" ht="40.5" customHeight="1" thickBot="1">
      <c r="A2" s="185" t="s">
        <v>0</v>
      </c>
      <c r="B2" s="2" t="s">
        <v>1</v>
      </c>
      <c r="C2" s="2" t="s">
        <v>96</v>
      </c>
      <c r="D2" s="2" t="s">
        <v>2</v>
      </c>
      <c r="E2" s="2" t="s">
        <v>95</v>
      </c>
      <c r="F2" s="2" t="s">
        <v>3</v>
      </c>
      <c r="G2" s="3" t="s">
        <v>97</v>
      </c>
      <c r="H2" s="2" t="s">
        <v>4</v>
      </c>
      <c r="I2" s="4" t="s">
        <v>98</v>
      </c>
      <c r="J2" s="432" t="s">
        <v>99</v>
      </c>
      <c r="K2" s="436"/>
    </row>
    <row r="3" spans="1:13" s="24" customFormat="1" ht="21" customHeight="1">
      <c r="A3" s="7">
        <v>1</v>
      </c>
      <c r="B3" s="7" t="s">
        <v>102</v>
      </c>
      <c r="C3" s="7" t="s">
        <v>5</v>
      </c>
      <c r="D3" s="7">
        <v>2210</v>
      </c>
      <c r="E3" s="7">
        <v>1113</v>
      </c>
      <c r="F3" s="7" t="s">
        <v>306</v>
      </c>
      <c r="G3" s="7" t="s">
        <v>43</v>
      </c>
      <c r="H3" s="7">
        <f>3+5+8+3+13</f>
        <v>32</v>
      </c>
      <c r="I3" s="9"/>
      <c r="J3" s="228">
        <f>600+1400+400+150+975</f>
        <v>3525</v>
      </c>
      <c r="K3" s="9"/>
    </row>
    <row r="4" spans="1:13" s="24" customFormat="1" ht="21" customHeight="1">
      <c r="A4" s="7"/>
      <c r="B4" s="7"/>
      <c r="C4" s="7"/>
      <c r="D4" s="7">
        <v>2210</v>
      </c>
      <c r="E4" s="7" t="s">
        <v>15</v>
      </c>
      <c r="F4" s="7" t="s">
        <v>306</v>
      </c>
      <c r="G4" s="7" t="s">
        <v>43</v>
      </c>
      <c r="H4" s="7">
        <f>19+20+10+32</f>
        <v>81</v>
      </c>
      <c r="I4" s="9"/>
      <c r="J4" s="228">
        <f>418+320+120+630</f>
        <v>1488</v>
      </c>
      <c r="K4" s="9"/>
    </row>
    <row r="5" spans="1:13" s="24" customFormat="1" ht="21" customHeight="1">
      <c r="A5" s="12"/>
      <c r="B5" s="12"/>
      <c r="C5" s="12"/>
      <c r="D5" s="12"/>
      <c r="E5" s="12"/>
      <c r="F5" s="15" t="s">
        <v>6</v>
      </c>
      <c r="G5" s="206"/>
      <c r="H5" s="87"/>
      <c r="I5" s="208"/>
      <c r="J5" s="421">
        <f>SUM(J3:J4)</f>
        <v>5013</v>
      </c>
      <c r="K5" s="14"/>
    </row>
    <row r="6" spans="1:13" s="24" customFormat="1" ht="21" customHeight="1">
      <c r="A6" s="31"/>
      <c r="B6" s="31" t="s">
        <v>104</v>
      </c>
      <c r="C6" s="31" t="s">
        <v>5</v>
      </c>
      <c r="D6" s="31">
        <v>2210</v>
      </c>
      <c r="E6" s="31">
        <v>1114</v>
      </c>
      <c r="F6" s="31" t="s">
        <v>231</v>
      </c>
      <c r="G6" s="31" t="s">
        <v>43</v>
      </c>
      <c r="H6" s="35">
        <f>17+17</f>
        <v>34</v>
      </c>
      <c r="I6" s="32"/>
      <c r="J6" s="420">
        <f>4165+1479</f>
        <v>5644</v>
      </c>
      <c r="K6" s="437"/>
    </row>
    <row r="7" spans="1:13" ht="21" customHeight="1">
      <c r="A7" s="127"/>
      <c r="B7" s="127"/>
      <c r="C7" s="127"/>
      <c r="D7" s="127"/>
      <c r="E7" s="127"/>
      <c r="F7" s="419" t="s">
        <v>106</v>
      </c>
      <c r="G7" s="127"/>
      <c r="H7" s="190"/>
      <c r="I7" s="129"/>
      <c r="J7" s="408">
        <f>SUM(J6:J6)</f>
        <v>5644</v>
      </c>
      <c r="K7" s="438"/>
    </row>
    <row r="8" spans="1:13" ht="21" customHeight="1">
      <c r="A8" s="67"/>
      <c r="B8" s="67" t="s">
        <v>109</v>
      </c>
      <c r="C8" s="67" t="s">
        <v>5</v>
      </c>
      <c r="D8" s="67">
        <v>2210</v>
      </c>
      <c r="E8" s="67" t="s">
        <v>15</v>
      </c>
      <c r="F8" s="67" t="s">
        <v>237</v>
      </c>
      <c r="G8" s="67" t="s">
        <v>43</v>
      </c>
      <c r="H8" s="45">
        <f>32+6+16+16+1</f>
        <v>71</v>
      </c>
      <c r="I8" s="47"/>
      <c r="J8" s="433">
        <f>608+168+78.4+164.8+70</f>
        <v>1089.2</v>
      </c>
      <c r="K8" s="220"/>
    </row>
    <row r="9" spans="1:13" ht="21" customHeight="1">
      <c r="A9" s="67"/>
      <c r="B9" s="67"/>
      <c r="C9" s="67"/>
      <c r="D9" s="67">
        <v>2220</v>
      </c>
      <c r="E9" s="67">
        <v>1512</v>
      </c>
      <c r="F9" s="67" t="s">
        <v>239</v>
      </c>
      <c r="G9" s="67" t="s">
        <v>240</v>
      </c>
      <c r="H9" s="45">
        <v>3</v>
      </c>
      <c r="I9" s="47"/>
      <c r="J9" s="433">
        <f>520+170</f>
        <v>690</v>
      </c>
      <c r="K9" s="220"/>
    </row>
    <row r="10" spans="1:13" ht="21" customHeight="1">
      <c r="A10" s="67"/>
      <c r="B10" s="67"/>
      <c r="C10" s="67"/>
      <c r="D10" s="67">
        <v>2210</v>
      </c>
      <c r="E10" s="67" t="s">
        <v>19</v>
      </c>
      <c r="F10" s="67" t="s">
        <v>247</v>
      </c>
      <c r="G10" s="67" t="s">
        <v>144</v>
      </c>
      <c r="H10" s="45">
        <f>4+12</f>
        <v>16</v>
      </c>
      <c r="I10" s="47"/>
      <c r="J10" s="433">
        <f>188.4+151.2</f>
        <v>339.6</v>
      </c>
      <c r="K10" s="220"/>
    </row>
    <row r="11" spans="1:13" ht="16.5" customHeight="1">
      <c r="A11" s="200"/>
      <c r="B11" s="200"/>
      <c r="C11" s="200"/>
      <c r="D11" s="200"/>
      <c r="E11" s="200"/>
      <c r="F11" s="419" t="s">
        <v>106</v>
      </c>
      <c r="G11" s="127"/>
      <c r="H11" s="190"/>
      <c r="I11" s="129"/>
      <c r="J11" s="408">
        <f>SUM(J8:J10)</f>
        <v>2118.8000000000002</v>
      </c>
      <c r="K11" s="438"/>
      <c r="M11" s="440"/>
    </row>
    <row r="12" spans="1:13" s="442" customFormat="1">
      <c r="A12" s="67">
        <v>4</v>
      </c>
      <c r="B12" s="67" t="s">
        <v>7</v>
      </c>
      <c r="C12" s="67" t="s">
        <v>5</v>
      </c>
      <c r="D12" s="67">
        <v>2210</v>
      </c>
      <c r="E12" s="67" t="s">
        <v>19</v>
      </c>
      <c r="F12" s="67" t="s">
        <v>180</v>
      </c>
      <c r="G12" s="67" t="s">
        <v>43</v>
      </c>
      <c r="H12" s="45">
        <v>40</v>
      </c>
      <c r="I12" s="441"/>
      <c r="J12" s="433">
        <v>180</v>
      </c>
      <c r="K12" s="220"/>
      <c r="M12" s="443"/>
    </row>
    <row r="13" spans="1:13" s="442" customFormat="1">
      <c r="A13" s="67"/>
      <c r="B13" s="67"/>
      <c r="C13" s="67"/>
      <c r="D13" s="67">
        <v>2210</v>
      </c>
      <c r="E13" s="67" t="s">
        <v>15</v>
      </c>
      <c r="F13" s="67" t="s">
        <v>307</v>
      </c>
      <c r="G13" s="67" t="s">
        <v>43</v>
      </c>
      <c r="H13" s="45">
        <v>3</v>
      </c>
      <c r="I13" s="441"/>
      <c r="J13" s="433">
        <v>180</v>
      </c>
      <c r="K13" s="220"/>
      <c r="M13" s="443"/>
    </row>
    <row r="14" spans="1:13" s="442" customFormat="1">
      <c r="A14" s="67"/>
      <c r="B14" s="67"/>
      <c r="C14" s="67"/>
      <c r="D14" s="67">
        <v>2210</v>
      </c>
      <c r="E14" s="67">
        <v>1113</v>
      </c>
      <c r="F14" s="67" t="s">
        <v>308</v>
      </c>
      <c r="G14" s="67" t="s">
        <v>43</v>
      </c>
      <c r="H14" s="45">
        <v>1</v>
      </c>
      <c r="I14" s="441"/>
      <c r="J14" s="433">
        <v>3500</v>
      </c>
      <c r="K14" s="220"/>
      <c r="M14" s="443"/>
    </row>
    <row r="15" spans="1:13" s="442" customFormat="1" ht="21" customHeight="1">
      <c r="A15" s="206"/>
      <c r="B15" s="206"/>
      <c r="C15" s="206"/>
      <c r="D15" s="206"/>
      <c r="E15" s="206"/>
      <c r="F15" s="444" t="s">
        <v>6</v>
      </c>
      <c r="G15" s="12"/>
      <c r="H15" s="13"/>
      <c r="I15" s="14"/>
      <c r="J15" s="408">
        <f>SUM(J12:J14)</f>
        <v>3860</v>
      </c>
      <c r="K15" s="445"/>
      <c r="M15" s="443"/>
    </row>
    <row r="16" spans="1:13" ht="21" customHeight="1">
      <c r="A16" s="51">
        <v>5</v>
      </c>
      <c r="B16" s="51" t="s">
        <v>309</v>
      </c>
      <c r="C16" s="51" t="s">
        <v>5</v>
      </c>
      <c r="D16" s="51">
        <v>2210</v>
      </c>
      <c r="E16" s="51">
        <v>1113</v>
      </c>
      <c r="F16" s="446" t="s">
        <v>310</v>
      </c>
      <c r="G16" s="51" t="s">
        <v>11</v>
      </c>
      <c r="H16" s="447">
        <v>2</v>
      </c>
      <c r="I16" s="55"/>
      <c r="J16" s="434">
        <f>2735+2920</f>
        <v>5655</v>
      </c>
      <c r="K16" s="434"/>
    </row>
    <row r="17" spans="1:11" s="442" customFormat="1" ht="21" customHeight="1">
      <c r="A17" s="206"/>
      <c r="B17" s="206"/>
      <c r="C17" s="206"/>
      <c r="D17" s="206"/>
      <c r="E17" s="206"/>
      <c r="F17" s="444" t="s">
        <v>6</v>
      </c>
      <c r="G17" s="12"/>
      <c r="H17" s="17"/>
      <c r="I17" s="14"/>
      <c r="J17" s="408">
        <f>SUM(J16:J16)</f>
        <v>5655</v>
      </c>
      <c r="K17" s="208"/>
    </row>
    <row r="18" spans="1:11" ht="21" customHeight="1">
      <c r="A18" s="51">
        <v>6</v>
      </c>
      <c r="B18" s="51" t="s">
        <v>8</v>
      </c>
      <c r="C18" s="51" t="s">
        <v>5</v>
      </c>
      <c r="D18" s="51">
        <v>2210</v>
      </c>
      <c r="E18" s="51">
        <v>1113</v>
      </c>
      <c r="F18" s="51" t="s">
        <v>204</v>
      </c>
      <c r="G18" s="51" t="s">
        <v>11</v>
      </c>
      <c r="H18" s="447">
        <f>2+2+1</f>
        <v>5</v>
      </c>
      <c r="I18" s="55"/>
      <c r="J18" s="434">
        <f>200+2400+304</f>
        <v>2904</v>
      </c>
      <c r="K18" s="434"/>
    </row>
    <row r="19" spans="1:11" ht="21" customHeight="1">
      <c r="A19" s="51"/>
      <c r="B19" s="51"/>
      <c r="C19" s="51"/>
      <c r="D19" s="51">
        <v>2210</v>
      </c>
      <c r="E19" s="51">
        <v>1113</v>
      </c>
      <c r="F19" s="51" t="s">
        <v>312</v>
      </c>
      <c r="G19" s="51" t="s">
        <v>43</v>
      </c>
      <c r="H19" s="447">
        <f>2+2+1+55+5+9+1+67+1+1+2+4+1</f>
        <v>151</v>
      </c>
      <c r="I19" s="55"/>
      <c r="J19" s="434">
        <f>250+50+1925+400+495+50+1340+150+85+120+150</f>
        <v>5015</v>
      </c>
      <c r="K19" s="434"/>
    </row>
    <row r="20" spans="1:11" ht="21" customHeight="1">
      <c r="A20" s="51"/>
      <c r="B20" s="51"/>
      <c r="C20" s="51"/>
      <c r="D20" s="51">
        <v>2210</v>
      </c>
      <c r="E20" s="51" t="s">
        <v>15</v>
      </c>
      <c r="F20" s="51" t="s">
        <v>311</v>
      </c>
      <c r="G20" s="51" t="s">
        <v>43</v>
      </c>
      <c r="H20" s="448" t="s">
        <v>49</v>
      </c>
      <c r="I20" s="55"/>
      <c r="J20" s="434">
        <v>35</v>
      </c>
      <c r="K20" s="434"/>
    </row>
    <row r="21" spans="1:11" ht="21" customHeight="1">
      <c r="A21" s="51"/>
      <c r="B21" s="51"/>
      <c r="C21" s="51"/>
      <c r="D21" s="51">
        <v>2210</v>
      </c>
      <c r="E21" s="51">
        <v>1113</v>
      </c>
      <c r="F21" s="51" t="s">
        <v>313</v>
      </c>
      <c r="G21" s="51" t="s">
        <v>43</v>
      </c>
      <c r="H21" s="448" t="s">
        <v>111</v>
      </c>
      <c r="I21" s="55"/>
      <c r="J21" s="434">
        <v>400</v>
      </c>
      <c r="K21" s="434"/>
    </row>
    <row r="22" spans="1:11" ht="21" customHeight="1">
      <c r="A22" s="51"/>
      <c r="B22" s="51"/>
      <c r="C22" s="51"/>
      <c r="D22" s="51">
        <v>2210</v>
      </c>
      <c r="E22" s="51">
        <v>1113</v>
      </c>
      <c r="F22" s="51" t="s">
        <v>193</v>
      </c>
      <c r="G22" s="51" t="s">
        <v>43</v>
      </c>
      <c r="H22" s="448" t="s">
        <v>49</v>
      </c>
      <c r="I22" s="55"/>
      <c r="J22" s="434">
        <v>100</v>
      </c>
      <c r="K22" s="434"/>
    </row>
    <row r="23" spans="1:11" s="442" customFormat="1" ht="21" customHeight="1">
      <c r="A23" s="206"/>
      <c r="B23" s="206"/>
      <c r="C23" s="206"/>
      <c r="D23" s="206"/>
      <c r="E23" s="206"/>
      <c r="F23" s="444" t="s">
        <v>6</v>
      </c>
      <c r="G23" s="12"/>
      <c r="H23" s="17"/>
      <c r="I23" s="14"/>
      <c r="J23" s="408">
        <f>SUM(J18:J22)</f>
        <v>8454</v>
      </c>
      <c r="K23" s="208"/>
    </row>
    <row r="24" spans="1:11" s="442" customFormat="1" ht="21" customHeight="1">
      <c r="A24" s="67">
        <v>7</v>
      </c>
      <c r="B24" s="67" t="s">
        <v>314</v>
      </c>
      <c r="C24" s="67" t="s">
        <v>5</v>
      </c>
      <c r="D24" s="67">
        <v>2210</v>
      </c>
      <c r="E24" s="67">
        <v>1113</v>
      </c>
      <c r="F24" s="67" t="s">
        <v>275</v>
      </c>
      <c r="G24" s="67" t="s">
        <v>43</v>
      </c>
      <c r="H24" s="449" t="s">
        <v>111</v>
      </c>
      <c r="I24" s="47"/>
      <c r="J24" s="433">
        <v>5800</v>
      </c>
      <c r="K24" s="220"/>
    </row>
    <row r="25" spans="1:11" s="442" customFormat="1" ht="21" customHeight="1">
      <c r="A25" s="67"/>
      <c r="B25" s="67"/>
      <c r="C25" s="67"/>
      <c r="D25" s="67">
        <v>2210</v>
      </c>
      <c r="E25" s="67">
        <v>1113</v>
      </c>
      <c r="F25" s="67" t="s">
        <v>315</v>
      </c>
      <c r="G25" s="67" t="s">
        <v>43</v>
      </c>
      <c r="H25" s="447">
        <v>2</v>
      </c>
      <c r="I25" s="47"/>
      <c r="J25" s="433">
        <v>400</v>
      </c>
      <c r="K25" s="220"/>
    </row>
    <row r="26" spans="1:11" s="442" customFormat="1" ht="21" customHeight="1">
      <c r="A26" s="206"/>
      <c r="B26" s="206"/>
      <c r="C26" s="206"/>
      <c r="D26" s="206"/>
      <c r="E26" s="206"/>
      <c r="F26" s="444" t="s">
        <v>6</v>
      </c>
      <c r="G26" s="12"/>
      <c r="H26" s="17"/>
      <c r="I26" s="14"/>
      <c r="J26" s="408">
        <f>SUM(J24:J25)</f>
        <v>6200</v>
      </c>
      <c r="K26" s="445"/>
    </row>
    <row r="27" spans="1:11" ht="21" customHeight="1">
      <c r="A27" s="51">
        <v>8</v>
      </c>
      <c r="B27" s="51" t="s">
        <v>316</v>
      </c>
      <c r="C27" s="51" t="s">
        <v>5</v>
      </c>
      <c r="D27" s="51">
        <v>2210</v>
      </c>
      <c r="E27" s="51">
        <v>1113</v>
      </c>
      <c r="F27" s="51" t="s">
        <v>204</v>
      </c>
      <c r="G27" s="51" t="s">
        <v>11</v>
      </c>
      <c r="H27" s="447">
        <f>1+3+2+2</f>
        <v>8</v>
      </c>
      <c r="I27" s="55"/>
      <c r="J27" s="434">
        <f>3000+750+300+400</f>
        <v>4450</v>
      </c>
      <c r="K27" s="450"/>
    </row>
    <row r="28" spans="1:11" ht="21" customHeight="1">
      <c r="A28" s="51"/>
      <c r="B28" s="51"/>
      <c r="C28" s="51"/>
      <c r="D28" s="51">
        <v>2210</v>
      </c>
      <c r="E28" s="51">
        <v>1113</v>
      </c>
      <c r="F28" s="51" t="s">
        <v>201</v>
      </c>
      <c r="G28" s="51" t="s">
        <v>43</v>
      </c>
      <c r="H28" s="448" t="s">
        <v>317</v>
      </c>
      <c r="I28" s="55"/>
      <c r="J28" s="434">
        <v>1364</v>
      </c>
      <c r="K28" s="450"/>
    </row>
    <row r="29" spans="1:11" ht="21" customHeight="1">
      <c r="A29" s="51"/>
      <c r="B29" s="51"/>
      <c r="C29" s="51"/>
      <c r="D29" s="51">
        <v>2210</v>
      </c>
      <c r="E29" s="51">
        <v>1113</v>
      </c>
      <c r="F29" s="51" t="s">
        <v>318</v>
      </c>
      <c r="G29" s="51" t="s">
        <v>43</v>
      </c>
      <c r="H29" s="448" t="s">
        <v>134</v>
      </c>
      <c r="I29" s="55"/>
      <c r="J29" s="434">
        <v>960</v>
      </c>
      <c r="K29" s="450"/>
    </row>
    <row r="30" spans="1:11" ht="21" customHeight="1">
      <c r="A30" s="51"/>
      <c r="B30" s="51"/>
      <c r="C30" s="51"/>
      <c r="D30" s="51">
        <v>2210</v>
      </c>
      <c r="E30" s="51">
        <v>1113</v>
      </c>
      <c r="F30" s="51" t="s">
        <v>115</v>
      </c>
      <c r="G30" s="51" t="s">
        <v>43</v>
      </c>
      <c r="H30" s="448" t="s">
        <v>319</v>
      </c>
      <c r="I30" s="55"/>
      <c r="J30" s="434">
        <v>560</v>
      </c>
      <c r="K30" s="450"/>
    </row>
    <row r="31" spans="1:11" ht="21" customHeight="1">
      <c r="A31" s="51"/>
      <c r="B31" s="51"/>
      <c r="C31" s="51"/>
      <c r="D31" s="51">
        <v>2210</v>
      </c>
      <c r="E31" s="51">
        <v>1113</v>
      </c>
      <c r="F31" s="51" t="s">
        <v>320</v>
      </c>
      <c r="G31" s="51" t="s">
        <v>43</v>
      </c>
      <c r="H31" s="448" t="s">
        <v>321</v>
      </c>
      <c r="I31" s="55"/>
      <c r="J31" s="434">
        <v>500</v>
      </c>
      <c r="K31" s="450"/>
    </row>
    <row r="32" spans="1:11" s="442" customFormat="1" ht="21" customHeight="1">
      <c r="A32" s="206"/>
      <c r="B32" s="206"/>
      <c r="C32" s="206"/>
      <c r="D32" s="206"/>
      <c r="E32" s="206"/>
      <c r="F32" s="444" t="s">
        <v>6</v>
      </c>
      <c r="G32" s="12"/>
      <c r="H32" s="20"/>
      <c r="I32" s="14"/>
      <c r="J32" s="408">
        <f>SUM(J27:J31)</f>
        <v>7834</v>
      </c>
      <c r="K32" s="451"/>
    </row>
    <row r="33" spans="1:12" ht="21" customHeight="1">
      <c r="A33" s="51">
        <v>9</v>
      </c>
      <c r="B33" s="51" t="s">
        <v>186</v>
      </c>
      <c r="C33" s="51" t="s">
        <v>5</v>
      </c>
      <c r="D33" s="51">
        <v>2210</v>
      </c>
      <c r="E33" s="51">
        <v>1113</v>
      </c>
      <c r="F33" s="51" t="s">
        <v>112</v>
      </c>
      <c r="G33" s="51" t="s">
        <v>11</v>
      </c>
      <c r="H33" s="447">
        <v>2</v>
      </c>
      <c r="I33" s="55"/>
      <c r="J33" s="434">
        <v>3120</v>
      </c>
      <c r="K33" s="434"/>
    </row>
    <row r="34" spans="1:12" s="442" customFormat="1" ht="21" customHeight="1">
      <c r="A34" s="206"/>
      <c r="B34" s="206"/>
      <c r="C34" s="206"/>
      <c r="D34" s="206"/>
      <c r="E34" s="206"/>
      <c r="F34" s="444" t="s">
        <v>6</v>
      </c>
      <c r="G34" s="12"/>
      <c r="H34" s="20"/>
      <c r="I34" s="14"/>
      <c r="J34" s="408">
        <f>SUM(J33:J33)</f>
        <v>3120</v>
      </c>
      <c r="K34" s="451"/>
    </row>
    <row r="35" spans="1:12" s="452" customFormat="1" ht="21" customHeight="1">
      <c r="A35" s="67">
        <v>10</v>
      </c>
      <c r="B35" s="67" t="s">
        <v>10</v>
      </c>
      <c r="C35" s="67" t="s">
        <v>5</v>
      </c>
      <c r="D35" s="67">
        <v>2210</v>
      </c>
      <c r="E35" s="67" t="s">
        <v>19</v>
      </c>
      <c r="F35" s="67" t="s">
        <v>247</v>
      </c>
      <c r="G35" s="67" t="s">
        <v>43</v>
      </c>
      <c r="H35" s="409">
        <v>120</v>
      </c>
      <c r="I35" s="47"/>
      <c r="J35" s="433">
        <f>220+240+800</f>
        <v>1260</v>
      </c>
      <c r="K35" s="220"/>
    </row>
    <row r="36" spans="1:12" ht="21" customHeight="1">
      <c r="A36" s="51"/>
      <c r="B36" s="51"/>
      <c r="C36" s="51"/>
      <c r="D36" s="51">
        <v>2210</v>
      </c>
      <c r="E36" s="51">
        <v>1113</v>
      </c>
      <c r="F36" s="51" t="s">
        <v>322</v>
      </c>
      <c r="G36" s="51" t="s">
        <v>43</v>
      </c>
      <c r="H36" s="54">
        <f>1+1+1+1</f>
        <v>4</v>
      </c>
      <c r="I36" s="54"/>
      <c r="J36" s="434">
        <f>100+200+100+3800</f>
        <v>4200</v>
      </c>
      <c r="K36" s="453"/>
    </row>
    <row r="37" spans="1:12" ht="21" customHeight="1">
      <c r="A37" s="51"/>
      <c r="B37" s="51"/>
      <c r="C37" s="51"/>
      <c r="D37" s="51">
        <v>2210</v>
      </c>
      <c r="E37" s="51">
        <v>1113</v>
      </c>
      <c r="F37" s="51" t="s">
        <v>323</v>
      </c>
      <c r="G37" s="51" t="s">
        <v>43</v>
      </c>
      <c r="H37" s="54">
        <v>3</v>
      </c>
      <c r="I37" s="54"/>
      <c r="J37" s="434">
        <v>450</v>
      </c>
      <c r="K37" s="453"/>
    </row>
    <row r="38" spans="1:12" ht="21" customHeight="1">
      <c r="A38" s="51"/>
      <c r="B38" s="51"/>
      <c r="C38" s="51"/>
      <c r="D38" s="51">
        <v>2210</v>
      </c>
      <c r="E38" s="51">
        <v>1113</v>
      </c>
      <c r="F38" s="51" t="s">
        <v>204</v>
      </c>
      <c r="G38" s="51" t="s">
        <v>43</v>
      </c>
      <c r="H38" s="54">
        <f>1+1</f>
        <v>2</v>
      </c>
      <c r="I38" s="54"/>
      <c r="J38" s="434">
        <f>2000+1700</f>
        <v>3700</v>
      </c>
      <c r="K38" s="453"/>
    </row>
    <row r="39" spans="1:12" ht="21" customHeight="1">
      <c r="A39" s="51"/>
      <c r="B39" s="51"/>
      <c r="C39" s="51"/>
      <c r="D39" s="51">
        <v>2210</v>
      </c>
      <c r="E39" s="51">
        <v>1113</v>
      </c>
      <c r="F39" s="51" t="s">
        <v>324</v>
      </c>
      <c r="G39" s="51" t="s">
        <v>43</v>
      </c>
      <c r="H39" s="54">
        <f>6+2+10</f>
        <v>18</v>
      </c>
      <c r="I39" s="54"/>
      <c r="J39" s="434">
        <f>720+2000+150</f>
        <v>2870</v>
      </c>
      <c r="K39" s="453"/>
    </row>
    <row r="40" spans="1:12" ht="21" customHeight="1">
      <c r="A40" s="51"/>
      <c r="B40" s="51"/>
      <c r="C40" s="51"/>
      <c r="D40" s="51">
        <v>2210</v>
      </c>
      <c r="E40" s="51">
        <v>1114</v>
      </c>
      <c r="F40" s="51" t="s">
        <v>325</v>
      </c>
      <c r="G40" s="51" t="s">
        <v>43</v>
      </c>
      <c r="H40" s="54">
        <f>30+66+66+66+46</f>
        <v>274</v>
      </c>
      <c r="I40" s="54"/>
      <c r="J40" s="434">
        <f>600+6600+6600+3300+1150</f>
        <v>18250</v>
      </c>
      <c r="K40" s="453"/>
    </row>
    <row r="41" spans="1:12" ht="21" customHeight="1">
      <c r="A41" s="51"/>
      <c r="B41" s="51"/>
      <c r="C41" s="51"/>
      <c r="D41" s="51">
        <v>2210</v>
      </c>
      <c r="E41" s="51">
        <v>1114</v>
      </c>
      <c r="F41" s="51" t="s">
        <v>326</v>
      </c>
      <c r="G41" s="51" t="s">
        <v>43</v>
      </c>
      <c r="H41" s="54">
        <f>10+12</f>
        <v>22</v>
      </c>
      <c r="I41" s="54"/>
      <c r="J41" s="434">
        <f>500+600</f>
        <v>1100</v>
      </c>
      <c r="K41" s="453"/>
    </row>
    <row r="42" spans="1:12" s="442" customFormat="1" ht="21" customHeight="1">
      <c r="A42" s="206"/>
      <c r="B42" s="206"/>
      <c r="C42" s="206"/>
      <c r="D42" s="206"/>
      <c r="E42" s="206"/>
      <c r="F42" s="444" t="s">
        <v>6</v>
      </c>
      <c r="G42" s="12"/>
      <c r="H42" s="20"/>
      <c r="I42" s="14"/>
      <c r="J42" s="408">
        <f>SUM(J35:J41)</f>
        <v>31830</v>
      </c>
      <c r="K42" s="221"/>
    </row>
    <row r="43" spans="1:12" s="442" customFormat="1" ht="21" customHeight="1">
      <c r="A43" s="67">
        <v>11</v>
      </c>
      <c r="B43" s="67" t="s">
        <v>33</v>
      </c>
      <c r="C43" s="67" t="s">
        <v>5</v>
      </c>
      <c r="D43" s="67">
        <v>2210</v>
      </c>
      <c r="E43" s="67" t="s">
        <v>15</v>
      </c>
      <c r="F43" s="67" t="s">
        <v>327</v>
      </c>
      <c r="G43" s="67" t="s">
        <v>147</v>
      </c>
      <c r="H43" s="454">
        <f>3+2+3+3+2+1+3+1+3+2+1+1+1+1+1+1</f>
        <v>29</v>
      </c>
      <c r="I43" s="172"/>
      <c r="J43" s="455">
        <f>500.2</f>
        <v>500.2</v>
      </c>
      <c r="K43" s="235"/>
    </row>
    <row r="44" spans="1:12" s="458" customFormat="1" ht="21" customHeight="1">
      <c r="A44" s="200"/>
      <c r="B44" s="200"/>
      <c r="C44" s="200"/>
      <c r="D44" s="200"/>
      <c r="E44" s="200"/>
      <c r="F44" s="456" t="s">
        <v>6</v>
      </c>
      <c r="G44" s="127"/>
      <c r="H44" s="128"/>
      <c r="I44" s="129"/>
      <c r="J44" s="408">
        <f>SUM(J43:J43)</f>
        <v>500.2</v>
      </c>
      <c r="K44" s="457"/>
    </row>
    <row r="45" spans="1:12" s="452" customFormat="1" ht="21" customHeight="1">
      <c r="A45" s="67"/>
      <c r="B45" s="67" t="s">
        <v>328</v>
      </c>
      <c r="C45" s="67" t="s">
        <v>5</v>
      </c>
      <c r="D45" s="67">
        <v>2210</v>
      </c>
      <c r="E45" s="67">
        <v>1113</v>
      </c>
      <c r="F45" s="67" t="s">
        <v>205</v>
      </c>
      <c r="G45" s="67" t="s">
        <v>43</v>
      </c>
      <c r="H45" s="409">
        <v>1</v>
      </c>
      <c r="I45" s="47"/>
      <c r="J45" s="433">
        <v>300</v>
      </c>
      <c r="K45" s="235"/>
    </row>
    <row r="46" spans="1:12" s="452" customFormat="1" ht="21" customHeight="1">
      <c r="A46" s="67"/>
      <c r="B46" s="67"/>
      <c r="C46" s="67"/>
      <c r="D46" s="67">
        <v>2210</v>
      </c>
      <c r="E46" s="67" t="s">
        <v>15</v>
      </c>
      <c r="F46" s="67" t="s">
        <v>329</v>
      </c>
      <c r="G46" s="67" t="s">
        <v>13</v>
      </c>
      <c r="H46" s="409">
        <f>15.4+3+1.5</f>
        <v>19.899999999999999</v>
      </c>
      <c r="I46" s="47"/>
      <c r="J46" s="433">
        <f>308+51+8</f>
        <v>367</v>
      </c>
      <c r="K46" s="235"/>
    </row>
    <row r="47" spans="1:12" s="458" customFormat="1" ht="21" customHeight="1">
      <c r="A47" s="200"/>
      <c r="B47" s="200"/>
      <c r="C47" s="200"/>
      <c r="D47" s="200"/>
      <c r="E47" s="200"/>
      <c r="F47" s="456"/>
      <c r="G47" s="127"/>
      <c r="H47" s="128"/>
      <c r="I47" s="129"/>
      <c r="J47" s="422">
        <f>SUM(J45:J46)</f>
        <v>667</v>
      </c>
      <c r="K47" s="457"/>
    </row>
    <row r="48" spans="1:12" s="460" customFormat="1" ht="21" customHeight="1">
      <c r="A48" s="708" t="s">
        <v>214</v>
      </c>
      <c r="B48" s="708"/>
      <c r="C48" s="708"/>
      <c r="D48" s="708"/>
      <c r="E48" s="708"/>
      <c r="F48" s="708"/>
      <c r="G48" s="708"/>
      <c r="H48" s="708"/>
      <c r="I48" s="708"/>
      <c r="J48" s="212">
        <f>J47+J44+J42+J34+J32+J26+J23+J17+J15+J11+J7+J5</f>
        <v>80896</v>
      </c>
      <c r="K48" s="212"/>
      <c r="L48" s="459"/>
    </row>
    <row r="49" spans="1:12" s="460" customFormat="1" ht="21" customHeight="1">
      <c r="A49" s="213">
        <v>13</v>
      </c>
      <c r="B49" s="414" t="s">
        <v>257</v>
      </c>
      <c r="C49" s="196" t="s">
        <v>331</v>
      </c>
      <c r="D49" s="196">
        <v>2210</v>
      </c>
      <c r="E49" s="196">
        <v>1112</v>
      </c>
      <c r="F49" s="214" t="s">
        <v>330</v>
      </c>
      <c r="G49" s="196" t="s">
        <v>43</v>
      </c>
      <c r="H49" s="196">
        <v>8</v>
      </c>
      <c r="I49" s="196"/>
      <c r="J49" s="420">
        <v>400</v>
      </c>
      <c r="K49" s="215"/>
      <c r="L49" s="459"/>
    </row>
    <row r="50" spans="1:12" s="462" customFormat="1" ht="21" customHeight="1">
      <c r="A50" s="410"/>
      <c r="B50" s="385"/>
      <c r="C50" s="239"/>
      <c r="D50" s="239"/>
      <c r="E50" s="239"/>
      <c r="F50" s="411"/>
      <c r="G50" s="239"/>
      <c r="H50" s="239"/>
      <c r="I50" s="239"/>
      <c r="J50" s="422">
        <f>SUM(J49)</f>
        <v>400</v>
      </c>
      <c r="K50" s="241"/>
      <c r="L50" s="461"/>
    </row>
    <row r="51" spans="1:12" s="460" customFormat="1" ht="21" customHeight="1">
      <c r="A51" s="213"/>
      <c r="B51" s="146" t="s">
        <v>332</v>
      </c>
      <c r="C51" s="196" t="s">
        <v>331</v>
      </c>
      <c r="D51" s="196">
        <v>2210</v>
      </c>
      <c r="E51" s="196">
        <v>1112</v>
      </c>
      <c r="F51" s="214" t="s">
        <v>330</v>
      </c>
      <c r="G51" s="196" t="s">
        <v>43</v>
      </c>
      <c r="H51" s="196">
        <v>9</v>
      </c>
      <c r="I51" s="196"/>
      <c r="J51" s="420">
        <v>435</v>
      </c>
      <c r="K51" s="215"/>
      <c r="L51" s="459"/>
    </row>
    <row r="52" spans="1:12" s="462" customFormat="1" ht="21" customHeight="1">
      <c r="A52" s="410"/>
      <c r="B52" s="385"/>
      <c r="C52" s="239"/>
      <c r="D52" s="239"/>
      <c r="E52" s="239"/>
      <c r="F52" s="411"/>
      <c r="G52" s="239"/>
      <c r="H52" s="239"/>
      <c r="I52" s="239"/>
      <c r="J52" s="422">
        <f>SUM(J51)</f>
        <v>435</v>
      </c>
      <c r="K52" s="241"/>
      <c r="L52" s="461"/>
    </row>
    <row r="53" spans="1:12" s="460" customFormat="1" ht="21" customHeight="1">
      <c r="A53" s="213"/>
      <c r="B53" s="146" t="s">
        <v>333</v>
      </c>
      <c r="C53" s="196" t="s">
        <v>331</v>
      </c>
      <c r="D53" s="196">
        <v>2210</v>
      </c>
      <c r="E53" s="196">
        <v>1112</v>
      </c>
      <c r="F53" s="214" t="s">
        <v>330</v>
      </c>
      <c r="G53" s="196" t="s">
        <v>43</v>
      </c>
      <c r="H53" s="196">
        <v>2</v>
      </c>
      <c r="I53" s="196"/>
      <c r="J53" s="420">
        <v>120</v>
      </c>
      <c r="K53" s="215"/>
      <c r="L53" s="459"/>
    </row>
    <row r="54" spans="1:12" s="462" customFormat="1" ht="21" customHeight="1">
      <c r="A54" s="410"/>
      <c r="B54" s="385"/>
      <c r="C54" s="239"/>
      <c r="D54" s="239"/>
      <c r="E54" s="239"/>
      <c r="F54" s="411"/>
      <c r="G54" s="239"/>
      <c r="H54" s="239"/>
      <c r="I54" s="239"/>
      <c r="J54" s="422">
        <f>SUM(J53)</f>
        <v>120</v>
      </c>
      <c r="K54" s="241"/>
      <c r="L54" s="461"/>
    </row>
    <row r="55" spans="1:12" s="460" customFormat="1" ht="21" customHeight="1">
      <c r="A55" s="213"/>
      <c r="B55" s="146" t="s">
        <v>334</v>
      </c>
      <c r="C55" s="196" t="s">
        <v>331</v>
      </c>
      <c r="D55" s="196">
        <v>2210</v>
      </c>
      <c r="E55" s="196">
        <v>1112</v>
      </c>
      <c r="F55" s="214" t="s">
        <v>330</v>
      </c>
      <c r="G55" s="196" t="s">
        <v>43</v>
      </c>
      <c r="H55" s="196">
        <v>8</v>
      </c>
      <c r="I55" s="196"/>
      <c r="J55" s="420">
        <v>390</v>
      </c>
      <c r="K55" s="215"/>
      <c r="L55" s="459"/>
    </row>
    <row r="56" spans="1:12" s="460" customFormat="1" ht="21" customHeight="1">
      <c r="A56" s="213"/>
      <c r="B56" s="146"/>
      <c r="C56" s="196" t="s">
        <v>159</v>
      </c>
      <c r="D56" s="196">
        <v>2210</v>
      </c>
      <c r="E56" s="196" t="s">
        <v>15</v>
      </c>
      <c r="F56" s="214" t="s">
        <v>237</v>
      </c>
      <c r="G56" s="196" t="s">
        <v>43</v>
      </c>
      <c r="H56" s="196">
        <f>8+1+1</f>
        <v>10</v>
      </c>
      <c r="I56" s="196"/>
      <c r="J56" s="420">
        <f>4799.52+266.4</f>
        <v>5065.92</v>
      </c>
      <c r="K56" s="215"/>
      <c r="L56" s="459"/>
    </row>
    <row r="57" spans="1:12" s="460" customFormat="1" ht="21" customHeight="1">
      <c r="A57" s="213"/>
      <c r="B57" s="146"/>
      <c r="C57" s="196"/>
      <c r="D57" s="196">
        <v>2210</v>
      </c>
      <c r="E57" s="196">
        <v>1113</v>
      </c>
      <c r="F57" s="214" t="s">
        <v>204</v>
      </c>
      <c r="G57" s="196" t="s">
        <v>43</v>
      </c>
      <c r="H57" s="196">
        <f>3+1+1+1+1+2+3+1+1+30+1+1+1+1+1+1+30+1</f>
        <v>81</v>
      </c>
      <c r="I57" s="196"/>
      <c r="J57" s="420">
        <f>6996+2059.98+323.1+243.66+547.2+547.2+547.2+370.98+403.92+5090+18330+2023+1140+1395+2210+966+1211+12240+4018</f>
        <v>60662.240000000005</v>
      </c>
      <c r="K57" s="215"/>
      <c r="L57" s="459"/>
    </row>
    <row r="58" spans="1:12" s="460" customFormat="1" ht="21" customHeight="1">
      <c r="A58" s="213"/>
      <c r="B58" s="146"/>
      <c r="C58" s="196"/>
      <c r="D58" s="196">
        <v>2210</v>
      </c>
      <c r="E58" s="196">
        <v>1113</v>
      </c>
      <c r="F58" s="214" t="s">
        <v>335</v>
      </c>
      <c r="G58" s="196" t="s">
        <v>43</v>
      </c>
      <c r="H58" s="196">
        <v>12</v>
      </c>
      <c r="I58" s="196"/>
      <c r="J58" s="420">
        <f>1787.16+1787.16+411.12+264+624+277.92+552+201.72+495+269.22+682.56+9350+27.12</f>
        <v>16728.98</v>
      </c>
      <c r="K58" s="215"/>
      <c r="L58" s="459"/>
    </row>
    <row r="59" spans="1:12" s="460" customFormat="1" ht="21" customHeight="1">
      <c r="A59" s="213"/>
      <c r="B59" s="146"/>
      <c r="C59" s="196"/>
      <c r="D59" s="196">
        <v>2210</v>
      </c>
      <c r="E59" s="196">
        <v>1113</v>
      </c>
      <c r="F59" s="214" t="s">
        <v>29</v>
      </c>
      <c r="G59" s="196" t="s">
        <v>43</v>
      </c>
      <c r="H59" s="196">
        <v>1</v>
      </c>
      <c r="I59" s="196"/>
      <c r="J59" s="420">
        <v>1374.06</v>
      </c>
      <c r="K59" s="215"/>
      <c r="L59" s="459"/>
    </row>
    <row r="60" spans="1:12" s="460" customFormat="1" ht="21" customHeight="1">
      <c r="A60" s="213"/>
      <c r="B60" s="146"/>
      <c r="C60" s="196"/>
      <c r="D60" s="196">
        <v>2210</v>
      </c>
      <c r="E60" s="196" t="s">
        <v>15</v>
      </c>
      <c r="F60" s="214" t="s">
        <v>336</v>
      </c>
      <c r="G60" s="196" t="s">
        <v>152</v>
      </c>
      <c r="H60" s="196">
        <v>56.1</v>
      </c>
      <c r="I60" s="196"/>
      <c r="J60" s="420">
        <v>7802.39</v>
      </c>
      <c r="K60" s="215"/>
      <c r="L60" s="459"/>
    </row>
    <row r="61" spans="1:12" s="460" customFormat="1" ht="21" customHeight="1">
      <c r="A61" s="213"/>
      <c r="B61" s="146"/>
      <c r="C61" s="196"/>
      <c r="D61" s="196">
        <v>3110</v>
      </c>
      <c r="E61" s="196">
        <v>1014</v>
      </c>
      <c r="F61" s="214" t="s">
        <v>275</v>
      </c>
      <c r="G61" s="196" t="s">
        <v>43</v>
      </c>
      <c r="H61" s="196">
        <v>1</v>
      </c>
      <c r="I61" s="196"/>
      <c r="J61" s="420">
        <v>7299</v>
      </c>
      <c r="K61" s="215"/>
      <c r="L61" s="459"/>
    </row>
    <row r="62" spans="1:12" s="462" customFormat="1" ht="21" customHeight="1">
      <c r="A62" s="410"/>
      <c r="B62" s="385"/>
      <c r="C62" s="239"/>
      <c r="D62" s="239"/>
      <c r="E62" s="239"/>
      <c r="F62" s="411"/>
      <c r="G62" s="239"/>
      <c r="H62" s="239"/>
      <c r="I62" s="239"/>
      <c r="J62" s="422">
        <f>SUM(J55:J61)</f>
        <v>99322.59</v>
      </c>
      <c r="K62" s="241"/>
      <c r="L62" s="461"/>
    </row>
    <row r="63" spans="1:12" s="460" customFormat="1" ht="21" customHeight="1">
      <c r="A63" s="213"/>
      <c r="B63" s="146" t="s">
        <v>337</v>
      </c>
      <c r="C63" s="196" t="s">
        <v>331</v>
      </c>
      <c r="D63" s="196">
        <v>2210</v>
      </c>
      <c r="E63" s="196">
        <v>1112</v>
      </c>
      <c r="F63" s="214" t="s">
        <v>330</v>
      </c>
      <c r="G63" s="196" t="s">
        <v>43</v>
      </c>
      <c r="H63" s="196">
        <v>6</v>
      </c>
      <c r="I63" s="196"/>
      <c r="J63" s="420">
        <v>325</v>
      </c>
      <c r="K63" s="215"/>
      <c r="L63" s="459"/>
    </row>
    <row r="64" spans="1:12" s="462" customFormat="1" ht="21" customHeight="1">
      <c r="A64" s="410"/>
      <c r="B64" s="385"/>
      <c r="C64" s="239"/>
      <c r="D64" s="239"/>
      <c r="E64" s="239"/>
      <c r="F64" s="411"/>
      <c r="G64" s="239"/>
      <c r="H64" s="239"/>
      <c r="I64" s="239"/>
      <c r="J64" s="422">
        <f>SUM(J63)</f>
        <v>325</v>
      </c>
      <c r="K64" s="241"/>
      <c r="L64" s="461"/>
    </row>
    <row r="65" spans="1:12" s="460" customFormat="1" ht="21" customHeight="1">
      <c r="A65" s="213"/>
      <c r="B65" s="146" t="s">
        <v>338</v>
      </c>
      <c r="C65" s="196" t="s">
        <v>331</v>
      </c>
      <c r="D65" s="196">
        <v>2210</v>
      </c>
      <c r="E65" s="196">
        <v>1112</v>
      </c>
      <c r="F65" s="214" t="s">
        <v>330</v>
      </c>
      <c r="G65" s="196" t="s">
        <v>43</v>
      </c>
      <c r="H65" s="196">
        <v>8</v>
      </c>
      <c r="I65" s="196"/>
      <c r="J65" s="420">
        <v>400</v>
      </c>
      <c r="K65" s="215"/>
      <c r="L65" s="459"/>
    </row>
    <row r="66" spans="1:12" s="460" customFormat="1" ht="21" customHeight="1">
      <c r="A66" s="213"/>
      <c r="B66" s="146"/>
      <c r="C66" s="196" t="s">
        <v>304</v>
      </c>
      <c r="D66" s="196">
        <v>2210</v>
      </c>
      <c r="E66" s="196">
        <v>1513</v>
      </c>
      <c r="F66" s="214" t="s">
        <v>339</v>
      </c>
      <c r="G66" s="196" t="s">
        <v>43</v>
      </c>
      <c r="H66" s="196">
        <v>6</v>
      </c>
      <c r="I66" s="196"/>
      <c r="J66" s="420">
        <v>44124</v>
      </c>
      <c r="K66" s="215"/>
      <c r="L66" s="459"/>
    </row>
    <row r="67" spans="1:12" s="460" customFormat="1" ht="21" customHeight="1">
      <c r="A67" s="213"/>
      <c r="B67" s="146"/>
      <c r="C67" s="196"/>
      <c r="D67" s="196">
        <v>2210</v>
      </c>
      <c r="E67" s="196">
        <v>1113</v>
      </c>
      <c r="F67" s="214" t="s">
        <v>340</v>
      </c>
      <c r="G67" s="196" t="s">
        <v>43</v>
      </c>
      <c r="H67" s="196">
        <v>12</v>
      </c>
      <c r="I67" s="196"/>
      <c r="J67" s="420">
        <v>27600</v>
      </c>
      <c r="K67" s="215"/>
      <c r="L67" s="459"/>
    </row>
    <row r="68" spans="1:12" s="460" customFormat="1" ht="21" customHeight="1">
      <c r="A68" s="213"/>
      <c r="B68" s="146"/>
      <c r="C68" s="196"/>
      <c r="D68" s="196">
        <v>2210</v>
      </c>
      <c r="E68" s="196">
        <v>1113</v>
      </c>
      <c r="F68" s="214" t="s">
        <v>275</v>
      </c>
      <c r="G68" s="196" t="s">
        <v>43</v>
      </c>
      <c r="H68" s="196">
        <v>1</v>
      </c>
      <c r="I68" s="196"/>
      <c r="J68" s="420">
        <v>5999</v>
      </c>
      <c r="K68" s="215"/>
      <c r="L68" s="459"/>
    </row>
    <row r="69" spans="1:12" s="460" customFormat="1" ht="21" customHeight="1">
      <c r="A69" s="213"/>
      <c r="B69" s="146"/>
      <c r="C69" s="196"/>
      <c r="D69" s="196">
        <v>2210</v>
      </c>
      <c r="E69" s="196">
        <v>1113</v>
      </c>
      <c r="F69" s="214" t="s">
        <v>341</v>
      </c>
      <c r="G69" s="196" t="s">
        <v>43</v>
      </c>
      <c r="H69" s="196">
        <v>1</v>
      </c>
      <c r="I69" s="196"/>
      <c r="J69" s="420">
        <v>4000</v>
      </c>
      <c r="K69" s="215"/>
      <c r="L69" s="459"/>
    </row>
    <row r="70" spans="1:12" s="462" customFormat="1" ht="21" customHeight="1">
      <c r="A70" s="410"/>
      <c r="B70" s="385"/>
      <c r="C70" s="239"/>
      <c r="D70" s="239"/>
      <c r="E70" s="239"/>
      <c r="F70" s="411"/>
      <c r="G70" s="239"/>
      <c r="H70" s="239"/>
      <c r="I70" s="239"/>
      <c r="J70" s="422">
        <f>SUM(J65:J69)</f>
        <v>82123</v>
      </c>
      <c r="K70" s="241"/>
      <c r="L70" s="461"/>
    </row>
    <row r="71" spans="1:12" s="460" customFormat="1" ht="21" customHeight="1">
      <c r="A71" s="213"/>
      <c r="B71" s="146" t="s">
        <v>342</v>
      </c>
      <c r="C71" s="196" t="s">
        <v>5</v>
      </c>
      <c r="D71" s="196">
        <v>2210</v>
      </c>
      <c r="E71" s="196" t="s">
        <v>15</v>
      </c>
      <c r="F71" s="214" t="s">
        <v>343</v>
      </c>
      <c r="G71" s="196" t="s">
        <v>344</v>
      </c>
      <c r="H71" s="196">
        <v>93</v>
      </c>
      <c r="I71" s="196"/>
      <c r="J71" s="420">
        <v>16060</v>
      </c>
      <c r="K71" s="215"/>
      <c r="L71" s="459"/>
    </row>
    <row r="72" spans="1:12" s="460" customFormat="1" ht="21" customHeight="1">
      <c r="A72" s="213"/>
      <c r="B72" s="146"/>
      <c r="C72" s="196"/>
      <c r="D72" s="196">
        <v>2210</v>
      </c>
      <c r="E72" s="196">
        <v>1113</v>
      </c>
      <c r="F72" s="214" t="s">
        <v>345</v>
      </c>
      <c r="G72" s="196" t="s">
        <v>43</v>
      </c>
      <c r="H72" s="196">
        <v>1</v>
      </c>
      <c r="I72" s="196"/>
      <c r="J72" s="420">
        <v>1855</v>
      </c>
      <c r="K72" s="215"/>
      <c r="L72" s="459"/>
    </row>
    <row r="73" spans="1:12" s="460" customFormat="1" ht="21" customHeight="1">
      <c r="A73" s="213"/>
      <c r="B73" s="146"/>
      <c r="C73" s="196" t="s">
        <v>331</v>
      </c>
      <c r="D73" s="196">
        <v>2210</v>
      </c>
      <c r="E73" s="196">
        <v>1112</v>
      </c>
      <c r="F73" s="214" t="s">
        <v>330</v>
      </c>
      <c r="G73" s="196" t="s">
        <v>43</v>
      </c>
      <c r="H73" s="196">
        <v>5</v>
      </c>
      <c r="I73" s="196"/>
      <c r="J73" s="420">
        <v>245</v>
      </c>
      <c r="K73" s="215"/>
      <c r="L73" s="459"/>
    </row>
    <row r="74" spans="1:12" s="462" customFormat="1" ht="21" customHeight="1">
      <c r="A74" s="410"/>
      <c r="B74" s="385"/>
      <c r="C74" s="239"/>
      <c r="D74" s="239"/>
      <c r="E74" s="239"/>
      <c r="F74" s="411"/>
      <c r="G74" s="239"/>
      <c r="H74" s="239"/>
      <c r="I74" s="239"/>
      <c r="J74" s="422">
        <f>SUM(J71:J73)</f>
        <v>18160</v>
      </c>
      <c r="K74" s="241"/>
      <c r="L74" s="461"/>
    </row>
    <row r="75" spans="1:12" s="460" customFormat="1" ht="21" customHeight="1">
      <c r="A75" s="213"/>
      <c r="B75" s="146" t="s">
        <v>346</v>
      </c>
      <c r="C75" s="196" t="s">
        <v>331</v>
      </c>
      <c r="D75" s="196">
        <v>2210</v>
      </c>
      <c r="E75" s="196">
        <v>1112</v>
      </c>
      <c r="F75" s="214" t="s">
        <v>330</v>
      </c>
      <c r="G75" s="196" t="s">
        <v>43</v>
      </c>
      <c r="H75" s="196">
        <v>8</v>
      </c>
      <c r="I75" s="196"/>
      <c r="J75" s="420">
        <v>390</v>
      </c>
      <c r="K75" s="215"/>
      <c r="L75" s="459"/>
    </row>
    <row r="76" spans="1:12" s="462" customFormat="1" ht="21" customHeight="1">
      <c r="A76" s="410"/>
      <c r="B76" s="385"/>
      <c r="C76" s="239"/>
      <c r="D76" s="239"/>
      <c r="E76" s="239"/>
      <c r="F76" s="411"/>
      <c r="G76" s="239"/>
      <c r="H76" s="239"/>
      <c r="I76" s="239"/>
      <c r="J76" s="422">
        <f>SUM(J75)</f>
        <v>390</v>
      </c>
      <c r="K76" s="241"/>
      <c r="L76" s="461"/>
    </row>
    <row r="77" spans="1:12" s="460" customFormat="1" ht="21" customHeight="1">
      <c r="A77" s="213"/>
      <c r="B77" s="146" t="s">
        <v>263</v>
      </c>
      <c r="C77" s="196" t="s">
        <v>331</v>
      </c>
      <c r="D77" s="196">
        <v>2210</v>
      </c>
      <c r="E77" s="196">
        <v>1112</v>
      </c>
      <c r="F77" s="214" t="s">
        <v>330</v>
      </c>
      <c r="G77" s="196" t="s">
        <v>43</v>
      </c>
      <c r="H77" s="196">
        <v>7</v>
      </c>
      <c r="I77" s="196"/>
      <c r="J77" s="420">
        <v>355</v>
      </c>
      <c r="K77" s="215"/>
      <c r="L77" s="459"/>
    </row>
    <row r="78" spans="1:12" s="462" customFormat="1" ht="21" customHeight="1">
      <c r="A78" s="410"/>
      <c r="B78" s="385"/>
      <c r="C78" s="239"/>
      <c r="D78" s="239"/>
      <c r="E78" s="239"/>
      <c r="F78" s="411"/>
      <c r="G78" s="239"/>
      <c r="H78" s="239"/>
      <c r="I78" s="239"/>
      <c r="J78" s="422">
        <f>SUM(J77)</f>
        <v>355</v>
      </c>
      <c r="K78" s="241"/>
      <c r="L78" s="461"/>
    </row>
    <row r="79" spans="1:12" s="460" customFormat="1" ht="21" customHeight="1">
      <c r="A79" s="213"/>
      <c r="B79" s="146" t="s">
        <v>20</v>
      </c>
      <c r="C79" s="196" t="s">
        <v>331</v>
      </c>
      <c r="D79" s="196">
        <v>2210</v>
      </c>
      <c r="E79" s="196">
        <v>1112</v>
      </c>
      <c r="F79" s="214" t="s">
        <v>330</v>
      </c>
      <c r="G79" s="196" t="s">
        <v>43</v>
      </c>
      <c r="H79" s="196">
        <v>8</v>
      </c>
      <c r="I79" s="196"/>
      <c r="J79" s="420">
        <v>400</v>
      </c>
      <c r="K79" s="215"/>
      <c r="L79" s="459"/>
    </row>
    <row r="80" spans="1:12" s="460" customFormat="1" ht="21" customHeight="1">
      <c r="A80" s="213"/>
      <c r="B80" s="146"/>
      <c r="C80" s="196" t="s">
        <v>5</v>
      </c>
      <c r="D80" s="196">
        <v>2210</v>
      </c>
      <c r="E80" s="196">
        <v>1113</v>
      </c>
      <c r="F80" s="214" t="s">
        <v>347</v>
      </c>
      <c r="G80" s="196" t="s">
        <v>43</v>
      </c>
      <c r="H80" s="196">
        <v>1</v>
      </c>
      <c r="I80" s="196"/>
      <c r="J80" s="420">
        <v>300</v>
      </c>
      <c r="K80" s="215"/>
      <c r="L80" s="459"/>
    </row>
    <row r="81" spans="1:12" s="460" customFormat="1" ht="21" customHeight="1">
      <c r="A81" s="197"/>
      <c r="B81" s="415"/>
      <c r="C81" s="197"/>
      <c r="D81" s="196">
        <v>2210</v>
      </c>
      <c r="E81" s="196">
        <v>1113</v>
      </c>
      <c r="F81" s="214" t="s">
        <v>277</v>
      </c>
      <c r="G81" s="196" t="s">
        <v>43</v>
      </c>
      <c r="H81" s="196">
        <v>1</v>
      </c>
      <c r="I81" s="197"/>
      <c r="J81" s="420">
        <v>700</v>
      </c>
      <c r="K81" s="215"/>
      <c r="L81" s="459"/>
    </row>
    <row r="82" spans="1:12" s="460" customFormat="1" ht="21" customHeight="1">
      <c r="A82" s="197"/>
      <c r="B82" s="415"/>
      <c r="C82" s="197"/>
      <c r="D82" s="196">
        <v>2210</v>
      </c>
      <c r="E82" s="196">
        <v>1113</v>
      </c>
      <c r="F82" s="214" t="s">
        <v>348</v>
      </c>
      <c r="G82" s="196" t="s">
        <v>43</v>
      </c>
      <c r="H82" s="196">
        <v>1</v>
      </c>
      <c r="I82" s="197"/>
      <c r="J82" s="420">
        <v>420</v>
      </c>
      <c r="K82" s="215"/>
      <c r="L82" s="459"/>
    </row>
    <row r="83" spans="1:12" s="462" customFormat="1" ht="21" customHeight="1">
      <c r="A83" s="240"/>
      <c r="B83" s="416"/>
      <c r="C83" s="240"/>
      <c r="D83" s="240"/>
      <c r="E83" s="240"/>
      <c r="F83" s="242"/>
      <c r="G83" s="240"/>
      <c r="H83" s="240"/>
      <c r="I83" s="240"/>
      <c r="J83" s="422">
        <f>SUM(J79:J82)</f>
        <v>1820</v>
      </c>
      <c r="K83" s="241"/>
      <c r="L83" s="461"/>
    </row>
    <row r="84" spans="1:12" s="460" customFormat="1" ht="21" customHeight="1">
      <c r="A84" s="197"/>
      <c r="B84" s="146" t="s">
        <v>349</v>
      </c>
      <c r="C84" s="196" t="s">
        <v>331</v>
      </c>
      <c r="D84" s="196">
        <v>2210</v>
      </c>
      <c r="E84" s="196">
        <v>1112</v>
      </c>
      <c r="F84" s="214" t="s">
        <v>330</v>
      </c>
      <c r="G84" s="196" t="s">
        <v>43</v>
      </c>
      <c r="H84" s="196">
        <v>4</v>
      </c>
      <c r="I84" s="196"/>
      <c r="J84" s="420">
        <v>185</v>
      </c>
      <c r="K84" s="215"/>
      <c r="L84" s="459"/>
    </row>
    <row r="85" spans="1:12" s="462" customFormat="1" ht="21" customHeight="1">
      <c r="A85" s="240"/>
      <c r="B85" s="416"/>
      <c r="C85" s="240"/>
      <c r="D85" s="240"/>
      <c r="E85" s="240"/>
      <c r="F85" s="242"/>
      <c r="G85" s="240"/>
      <c r="H85" s="240"/>
      <c r="I85" s="240"/>
      <c r="J85" s="422">
        <f>SUM(J84)</f>
        <v>185</v>
      </c>
      <c r="K85" s="241"/>
      <c r="L85" s="461"/>
    </row>
    <row r="86" spans="1:12" s="460" customFormat="1" ht="21" customHeight="1">
      <c r="A86" s="196"/>
      <c r="B86" s="146" t="s">
        <v>350</v>
      </c>
      <c r="C86" s="196" t="s">
        <v>331</v>
      </c>
      <c r="D86" s="196">
        <v>2210</v>
      </c>
      <c r="E86" s="196">
        <v>1112</v>
      </c>
      <c r="F86" s="214" t="s">
        <v>330</v>
      </c>
      <c r="G86" s="196" t="s">
        <v>43</v>
      </c>
      <c r="H86" s="196">
        <v>8</v>
      </c>
      <c r="I86" s="196"/>
      <c r="J86" s="420">
        <v>400</v>
      </c>
      <c r="K86" s="215"/>
      <c r="L86" s="459"/>
    </row>
    <row r="87" spans="1:12" s="462" customFormat="1" ht="21" customHeight="1">
      <c r="A87" s="239"/>
      <c r="B87" s="416"/>
      <c r="C87" s="239"/>
      <c r="D87" s="239"/>
      <c r="E87" s="239"/>
      <c r="F87" s="411"/>
      <c r="G87" s="239"/>
      <c r="H87" s="239"/>
      <c r="I87" s="240"/>
      <c r="J87" s="422">
        <f>SUM(J86)</f>
        <v>400</v>
      </c>
      <c r="K87" s="241"/>
      <c r="L87" s="461"/>
    </row>
    <row r="88" spans="1:12" s="460" customFormat="1" ht="21" customHeight="1">
      <c r="A88" s="196"/>
      <c r="B88" s="146" t="s">
        <v>351</v>
      </c>
      <c r="C88" s="196" t="s">
        <v>331</v>
      </c>
      <c r="D88" s="196">
        <v>2210</v>
      </c>
      <c r="E88" s="196">
        <v>1112</v>
      </c>
      <c r="F88" s="214" t="s">
        <v>330</v>
      </c>
      <c r="G88" s="196" t="s">
        <v>43</v>
      </c>
      <c r="H88" s="196">
        <v>7</v>
      </c>
      <c r="I88" s="196"/>
      <c r="J88" s="420">
        <v>355</v>
      </c>
      <c r="K88" s="215"/>
      <c r="L88" s="459"/>
    </row>
    <row r="89" spans="1:12" s="460" customFormat="1" ht="21" customHeight="1">
      <c r="A89" s="196"/>
      <c r="B89" s="415"/>
      <c r="C89" s="196" t="s">
        <v>5</v>
      </c>
      <c r="D89" s="196">
        <v>2210</v>
      </c>
      <c r="E89" s="196">
        <v>1113</v>
      </c>
      <c r="F89" s="214" t="s">
        <v>204</v>
      </c>
      <c r="G89" s="196" t="s">
        <v>43</v>
      </c>
      <c r="H89" s="196">
        <v>4</v>
      </c>
      <c r="I89" s="197"/>
      <c r="J89" s="420">
        <f>300+500+3500</f>
        <v>4300</v>
      </c>
      <c r="K89" s="215"/>
      <c r="L89" s="459"/>
    </row>
    <row r="90" spans="1:12" s="460" customFormat="1" ht="21" customHeight="1">
      <c r="A90" s="196"/>
      <c r="B90" s="417"/>
      <c r="C90" s="196"/>
      <c r="D90" s="196">
        <v>2210</v>
      </c>
      <c r="E90" s="196">
        <v>1113</v>
      </c>
      <c r="F90" s="214" t="s">
        <v>275</v>
      </c>
      <c r="G90" s="196" t="s">
        <v>43</v>
      </c>
      <c r="H90" s="196">
        <v>3</v>
      </c>
      <c r="I90" s="197"/>
      <c r="J90" s="420">
        <f>4300+4118+4443</f>
        <v>12861</v>
      </c>
      <c r="K90" s="215"/>
      <c r="L90" s="459"/>
    </row>
    <row r="91" spans="1:12" s="460" customFormat="1" ht="21" customHeight="1">
      <c r="A91" s="240"/>
      <c r="B91" s="242"/>
      <c r="C91" s="240"/>
      <c r="D91" s="239"/>
      <c r="E91" s="239"/>
      <c r="F91" s="239" t="s">
        <v>117</v>
      </c>
      <c r="G91" s="239"/>
      <c r="H91" s="240"/>
      <c r="I91" s="240"/>
      <c r="J91" s="408">
        <f>SUM(J88:J90)</f>
        <v>17516</v>
      </c>
      <c r="K91" s="241"/>
      <c r="L91" s="459"/>
    </row>
    <row r="92" spans="1:12" s="24" customFormat="1" ht="21" customHeight="1">
      <c r="A92" s="49"/>
      <c r="B92" s="40" t="s">
        <v>352</v>
      </c>
      <c r="C92" s="196" t="s">
        <v>331</v>
      </c>
      <c r="D92" s="196">
        <v>2210</v>
      </c>
      <c r="E92" s="196">
        <v>1112</v>
      </c>
      <c r="F92" s="214" t="s">
        <v>330</v>
      </c>
      <c r="G92" s="196" t="s">
        <v>43</v>
      </c>
      <c r="H92" s="196">
        <v>8</v>
      </c>
      <c r="I92" s="196"/>
      <c r="J92" s="420">
        <v>405</v>
      </c>
      <c r="K92" s="437"/>
    </row>
    <row r="93" spans="1:12" s="24" customFormat="1" ht="21" customHeight="1">
      <c r="A93" s="6"/>
      <c r="B93" s="233"/>
      <c r="C93" s="157" t="s">
        <v>5</v>
      </c>
      <c r="D93" s="35">
        <v>2210</v>
      </c>
      <c r="E93" s="147">
        <v>1113</v>
      </c>
      <c r="F93" s="147" t="s">
        <v>353</v>
      </c>
      <c r="G93" s="147" t="s">
        <v>43</v>
      </c>
      <c r="H93" s="147">
        <v>1</v>
      </c>
      <c r="I93" s="140"/>
      <c r="J93" s="424">
        <v>5000</v>
      </c>
      <c r="K93" s="437"/>
    </row>
    <row r="94" spans="1:12" s="24" customFormat="1" ht="21" customHeight="1">
      <c r="A94" s="6"/>
      <c r="B94" s="233"/>
      <c r="C94" s="157"/>
      <c r="D94" s="35"/>
      <c r="E94" s="147"/>
      <c r="F94" s="147" t="s">
        <v>354</v>
      </c>
      <c r="G94" s="147" t="s">
        <v>43</v>
      </c>
      <c r="H94" s="147">
        <v>18</v>
      </c>
      <c r="I94" s="140"/>
      <c r="J94" s="424">
        <f>9800+32000</f>
        <v>41800</v>
      </c>
      <c r="K94" s="437"/>
    </row>
    <row r="95" spans="1:12" s="24" customFormat="1" ht="21" customHeight="1">
      <c r="A95" s="6"/>
      <c r="B95" s="233"/>
      <c r="C95" s="157"/>
      <c r="D95" s="35"/>
      <c r="E95" s="147"/>
      <c r="F95" s="147" t="s">
        <v>275</v>
      </c>
      <c r="G95" s="147" t="s">
        <v>43</v>
      </c>
      <c r="H95" s="147">
        <v>1</v>
      </c>
      <c r="I95" s="140"/>
      <c r="J95" s="424">
        <v>4000</v>
      </c>
      <c r="K95" s="437"/>
    </row>
    <row r="96" spans="1:12" s="24" customFormat="1" ht="21" customHeight="1">
      <c r="A96" s="6"/>
      <c r="B96" s="233"/>
      <c r="C96" s="157"/>
      <c r="D96" s="35"/>
      <c r="E96" s="147"/>
      <c r="F96" s="147" t="s">
        <v>355</v>
      </c>
      <c r="G96" s="147" t="s">
        <v>43</v>
      </c>
      <c r="H96" s="147">
        <v>3</v>
      </c>
      <c r="I96" s="140"/>
      <c r="J96" s="424">
        <v>1725</v>
      </c>
      <c r="K96" s="437"/>
    </row>
    <row r="97" spans="1:13" ht="21" customHeight="1">
      <c r="A97" s="224"/>
      <c r="B97" s="231"/>
      <c r="C97" s="463"/>
      <c r="D97" s="13"/>
      <c r="E97" s="231"/>
      <c r="F97" s="231" t="s">
        <v>6</v>
      </c>
      <c r="G97" s="231"/>
      <c r="H97" s="231"/>
      <c r="I97" s="464"/>
      <c r="J97" s="423">
        <f>SUM(J92:J96)</f>
        <v>52930</v>
      </c>
      <c r="K97" s="221"/>
    </row>
    <row r="98" spans="1:13" s="24" customFormat="1" ht="21" customHeight="1">
      <c r="A98" s="49"/>
      <c r="B98" s="40" t="s">
        <v>356</v>
      </c>
      <c r="C98" s="196" t="s">
        <v>331</v>
      </c>
      <c r="D98" s="196">
        <v>2210</v>
      </c>
      <c r="E98" s="196">
        <v>1112</v>
      </c>
      <c r="F98" s="214" t="s">
        <v>330</v>
      </c>
      <c r="G98" s="196" t="s">
        <v>43</v>
      </c>
      <c r="H98" s="196">
        <v>2</v>
      </c>
      <c r="I98" s="196"/>
      <c r="J98" s="420">
        <v>120</v>
      </c>
      <c r="K98" s="465"/>
      <c r="M98" s="489"/>
    </row>
    <row r="99" spans="1:13" s="24" customFormat="1" ht="21" customHeight="1">
      <c r="A99" s="6"/>
      <c r="B99" s="233"/>
      <c r="C99" s="157" t="s">
        <v>5</v>
      </c>
      <c r="D99" s="35">
        <v>2210</v>
      </c>
      <c r="E99" s="147">
        <v>1513</v>
      </c>
      <c r="F99" s="147" t="s">
        <v>284</v>
      </c>
      <c r="G99" s="147" t="s">
        <v>43</v>
      </c>
      <c r="H99" s="147">
        <v>4</v>
      </c>
      <c r="I99" s="140"/>
      <c r="J99" s="424">
        <v>18460</v>
      </c>
      <c r="K99" s="465"/>
      <c r="L99" s="489"/>
      <c r="M99" s="157"/>
    </row>
    <row r="100" spans="1:13" s="24" customFormat="1" ht="21" customHeight="1">
      <c r="A100" s="224"/>
      <c r="B100" s="224"/>
      <c r="C100" s="224"/>
      <c r="D100" s="224"/>
      <c r="E100" s="224"/>
      <c r="F100" s="79" t="s">
        <v>6</v>
      </c>
      <c r="G100" s="141"/>
      <c r="H100" s="141"/>
      <c r="I100" s="81"/>
      <c r="J100" s="425">
        <f>SUM(J98:J99)</f>
        <v>18580</v>
      </c>
      <c r="K100" s="223"/>
    </row>
    <row r="101" spans="1:13" s="195" customFormat="1" ht="21" customHeight="1">
      <c r="A101" s="146"/>
      <c r="B101" s="466" t="s">
        <v>287</v>
      </c>
      <c r="C101" s="196" t="s">
        <v>331</v>
      </c>
      <c r="D101" s="196">
        <v>2210</v>
      </c>
      <c r="E101" s="196">
        <v>1112</v>
      </c>
      <c r="F101" s="214" t="s">
        <v>330</v>
      </c>
      <c r="G101" s="196" t="s">
        <v>43</v>
      </c>
      <c r="H101" s="196">
        <v>7</v>
      </c>
      <c r="I101" s="196"/>
      <c r="J101" s="420">
        <v>325</v>
      </c>
      <c r="K101" s="139"/>
    </row>
    <row r="102" spans="1:13" s="195" customFormat="1" ht="21" customHeight="1">
      <c r="A102" s="146"/>
      <c r="B102" s="466"/>
      <c r="C102" s="264" t="s">
        <v>5</v>
      </c>
      <c r="D102" s="196">
        <v>2210</v>
      </c>
      <c r="E102" s="196">
        <v>1113</v>
      </c>
      <c r="F102" s="214" t="s">
        <v>357</v>
      </c>
      <c r="G102" s="196" t="s">
        <v>43</v>
      </c>
      <c r="H102" s="196">
        <v>1</v>
      </c>
      <c r="I102" s="196"/>
      <c r="J102" s="420">
        <v>2340</v>
      </c>
      <c r="K102" s="139"/>
    </row>
    <row r="103" spans="1:13" s="195" customFormat="1" ht="21" customHeight="1">
      <c r="A103" s="146"/>
      <c r="B103" s="466"/>
      <c r="C103" s="264"/>
      <c r="D103" s="196"/>
      <c r="E103" s="196"/>
      <c r="F103" s="214" t="s">
        <v>237</v>
      </c>
      <c r="G103" s="196" t="s">
        <v>142</v>
      </c>
      <c r="H103" s="196">
        <v>12</v>
      </c>
      <c r="I103" s="196"/>
      <c r="J103" s="420">
        <v>147.6</v>
      </c>
      <c r="K103" s="139"/>
    </row>
    <row r="104" spans="1:13" s="24" customFormat="1" ht="21" customHeight="1">
      <c r="A104" s="224"/>
      <c r="B104" s="467"/>
      <c r="C104" s="468"/>
      <c r="D104" s="224"/>
      <c r="E104" s="224"/>
      <c r="F104" s="79" t="s">
        <v>6</v>
      </c>
      <c r="G104" s="141"/>
      <c r="H104" s="141"/>
      <c r="I104" s="81"/>
      <c r="J104" s="425">
        <f>SUM(J101:J103)</f>
        <v>2812.6</v>
      </c>
      <c r="K104" s="223"/>
    </row>
    <row r="105" spans="1:13" s="195" customFormat="1" ht="21" customHeight="1">
      <c r="A105" s="146"/>
      <c r="B105" s="466" t="s">
        <v>26</v>
      </c>
      <c r="C105" s="196" t="s">
        <v>331</v>
      </c>
      <c r="D105" s="196">
        <v>2210</v>
      </c>
      <c r="E105" s="196">
        <v>1112</v>
      </c>
      <c r="F105" s="214" t="s">
        <v>330</v>
      </c>
      <c r="G105" s="196" t="s">
        <v>43</v>
      </c>
      <c r="H105" s="196">
        <v>2</v>
      </c>
      <c r="I105" s="196"/>
      <c r="J105" s="420">
        <v>120</v>
      </c>
      <c r="K105" s="139"/>
    </row>
    <row r="106" spans="1:13" s="490" customFormat="1" ht="21" customHeight="1">
      <c r="A106" s="385"/>
      <c r="B106" s="469"/>
      <c r="C106" s="470"/>
      <c r="D106" s="385"/>
      <c r="E106" s="385"/>
      <c r="F106" s="277"/>
      <c r="G106" s="381"/>
      <c r="H106" s="381"/>
      <c r="I106" s="382"/>
      <c r="J106" s="425">
        <f>SUM(J105:J105)</f>
        <v>120</v>
      </c>
      <c r="K106" s="383"/>
    </row>
    <row r="107" spans="1:13" s="195" customFormat="1" ht="21" customHeight="1">
      <c r="A107" s="146"/>
      <c r="B107" s="466" t="s">
        <v>41</v>
      </c>
      <c r="C107" s="196" t="s">
        <v>331</v>
      </c>
      <c r="D107" s="196">
        <v>2210</v>
      </c>
      <c r="E107" s="196">
        <v>1112</v>
      </c>
      <c r="F107" s="214" t="s">
        <v>330</v>
      </c>
      <c r="G107" s="196" t="s">
        <v>43</v>
      </c>
      <c r="H107" s="196">
        <v>7</v>
      </c>
      <c r="I107" s="196"/>
      <c r="J107" s="420">
        <v>360</v>
      </c>
      <c r="K107" s="139"/>
    </row>
    <row r="108" spans="1:13" s="490" customFormat="1" ht="21" customHeight="1">
      <c r="A108" s="385"/>
      <c r="B108" s="469"/>
      <c r="C108" s="470"/>
      <c r="D108" s="385"/>
      <c r="E108" s="385"/>
      <c r="F108" s="385"/>
      <c r="G108" s="385"/>
      <c r="H108" s="381"/>
      <c r="I108" s="382"/>
      <c r="J108" s="425">
        <f>SUM(J107:J107)</f>
        <v>360</v>
      </c>
      <c r="K108" s="383"/>
    </row>
    <row r="109" spans="1:13" s="195" customFormat="1" ht="21" customHeight="1">
      <c r="A109" s="146"/>
      <c r="B109" s="466" t="s">
        <v>358</v>
      </c>
      <c r="C109" s="196" t="s">
        <v>331</v>
      </c>
      <c r="D109" s="196">
        <v>2210</v>
      </c>
      <c r="E109" s="196">
        <v>1112</v>
      </c>
      <c r="F109" s="214" t="s">
        <v>330</v>
      </c>
      <c r="G109" s="196" t="s">
        <v>43</v>
      </c>
      <c r="H109" s="196">
        <v>8</v>
      </c>
      <c r="I109" s="196"/>
      <c r="J109" s="420">
        <v>400</v>
      </c>
      <c r="K109" s="139"/>
    </row>
    <row r="110" spans="1:13" s="490" customFormat="1" ht="21" customHeight="1">
      <c r="A110" s="385"/>
      <c r="B110" s="469"/>
      <c r="C110" s="470"/>
      <c r="D110" s="385"/>
      <c r="E110" s="385"/>
      <c r="F110" s="277"/>
      <c r="G110" s="381"/>
      <c r="H110" s="381"/>
      <c r="I110" s="382"/>
      <c r="J110" s="425">
        <f>SUM(J109)</f>
        <v>400</v>
      </c>
      <c r="K110" s="383"/>
    </row>
    <row r="111" spans="1:13" s="195" customFormat="1" ht="21" customHeight="1">
      <c r="A111" s="146"/>
      <c r="B111" s="466" t="s">
        <v>359</v>
      </c>
      <c r="C111" s="196" t="s">
        <v>331</v>
      </c>
      <c r="D111" s="196">
        <v>2210</v>
      </c>
      <c r="E111" s="196">
        <v>1112</v>
      </c>
      <c r="F111" s="214" t="s">
        <v>330</v>
      </c>
      <c r="G111" s="196" t="s">
        <v>43</v>
      </c>
      <c r="H111" s="196">
        <v>9</v>
      </c>
      <c r="I111" s="196"/>
      <c r="J111" s="420">
        <v>435</v>
      </c>
      <c r="K111" s="139"/>
    </row>
    <row r="112" spans="1:13" s="458" customFormat="1" ht="21" customHeight="1">
      <c r="A112" s="385"/>
      <c r="B112" s="469"/>
      <c r="C112" s="412"/>
      <c r="D112" s="239"/>
      <c r="E112" s="239"/>
      <c r="F112" s="411"/>
      <c r="G112" s="239"/>
      <c r="H112" s="239"/>
      <c r="I112" s="239"/>
      <c r="J112" s="422">
        <f>SUM(J111)</f>
        <v>435</v>
      </c>
      <c r="K112" s="379"/>
    </row>
    <row r="113" spans="1:13" s="195" customFormat="1" ht="21" customHeight="1">
      <c r="A113" s="39"/>
      <c r="B113" s="418" t="s">
        <v>360</v>
      </c>
      <c r="C113" s="196" t="s">
        <v>331</v>
      </c>
      <c r="D113" s="196">
        <v>2210</v>
      </c>
      <c r="E113" s="196">
        <v>1112</v>
      </c>
      <c r="F113" s="214" t="s">
        <v>330</v>
      </c>
      <c r="G113" s="196" t="s">
        <v>43</v>
      </c>
      <c r="H113" s="196">
        <v>7</v>
      </c>
      <c r="I113" s="196"/>
      <c r="J113" s="420">
        <v>360</v>
      </c>
      <c r="K113" s="139"/>
    </row>
    <row r="114" spans="1:13" s="195" customFormat="1" ht="21" customHeight="1">
      <c r="A114" s="146"/>
      <c r="B114" s="466"/>
      <c r="C114" s="471" t="s">
        <v>5</v>
      </c>
      <c r="D114" s="146">
        <v>2210</v>
      </c>
      <c r="E114" s="146" t="s">
        <v>15</v>
      </c>
      <c r="F114" s="146" t="s">
        <v>221</v>
      </c>
      <c r="G114" s="146" t="s">
        <v>13</v>
      </c>
      <c r="H114" s="375">
        <v>30</v>
      </c>
      <c r="I114" s="132"/>
      <c r="J114" s="424">
        <v>600</v>
      </c>
      <c r="K114" s="139"/>
    </row>
    <row r="115" spans="1:13" s="195" customFormat="1" ht="21" customHeight="1">
      <c r="A115" s="146"/>
      <c r="B115" s="466"/>
      <c r="C115" s="471"/>
      <c r="D115" s="146">
        <v>2210</v>
      </c>
      <c r="E115" s="146">
        <v>1113</v>
      </c>
      <c r="F115" s="146" t="s">
        <v>204</v>
      </c>
      <c r="G115" s="146" t="s">
        <v>43</v>
      </c>
      <c r="H115" s="375">
        <f>1+24+1+1+1</f>
        <v>28</v>
      </c>
      <c r="I115" s="132"/>
      <c r="J115" s="424">
        <f>350+12000+4750+4500+1100</f>
        <v>22700</v>
      </c>
      <c r="K115" s="139"/>
    </row>
    <row r="116" spans="1:13" s="195" customFormat="1" ht="21" customHeight="1">
      <c r="A116" s="146"/>
      <c r="B116" s="466"/>
      <c r="C116" s="471"/>
      <c r="D116" s="146">
        <v>2210</v>
      </c>
      <c r="E116" s="146">
        <v>1113</v>
      </c>
      <c r="F116" s="146" t="s">
        <v>361</v>
      </c>
      <c r="G116" s="146" t="s">
        <v>43</v>
      </c>
      <c r="H116" s="375">
        <v>3</v>
      </c>
      <c r="I116" s="132"/>
      <c r="J116" s="424">
        <v>3000</v>
      </c>
      <c r="K116" s="139"/>
    </row>
    <row r="117" spans="1:13" s="195" customFormat="1" ht="21" customHeight="1">
      <c r="A117" s="146"/>
      <c r="B117" s="466"/>
      <c r="C117" s="471"/>
      <c r="D117" s="146"/>
      <c r="E117" s="146"/>
      <c r="F117" s="146" t="s">
        <v>53</v>
      </c>
      <c r="G117" s="146" t="s">
        <v>43</v>
      </c>
      <c r="H117" s="375">
        <v>18</v>
      </c>
      <c r="I117" s="132"/>
      <c r="J117" s="424">
        <v>10500</v>
      </c>
      <c r="K117" s="139"/>
    </row>
    <row r="118" spans="1:13" s="195" customFormat="1" ht="21" customHeight="1">
      <c r="A118" s="146"/>
      <c r="B118" s="466"/>
      <c r="C118" s="471"/>
      <c r="D118" s="146">
        <v>2210</v>
      </c>
      <c r="E118" s="146">
        <v>1114</v>
      </c>
      <c r="F118" s="146" t="s">
        <v>182</v>
      </c>
      <c r="G118" s="146" t="s">
        <v>43</v>
      </c>
      <c r="H118" s="375">
        <f>30+30+30+30+7</f>
        <v>127</v>
      </c>
      <c r="I118" s="132"/>
      <c r="J118" s="424">
        <f>2550+1800+1200+3150+700</f>
        <v>9400</v>
      </c>
      <c r="K118" s="139"/>
    </row>
    <row r="119" spans="1:13" s="490" customFormat="1" ht="21" customHeight="1">
      <c r="A119" s="385"/>
      <c r="B119" s="469"/>
      <c r="C119" s="470"/>
      <c r="D119" s="385"/>
      <c r="E119" s="385"/>
      <c r="F119" s="385"/>
      <c r="G119" s="385"/>
      <c r="H119" s="381"/>
      <c r="I119" s="382"/>
      <c r="J119" s="425">
        <f>SUM(J113:J118)</f>
        <v>46560</v>
      </c>
      <c r="K119" s="383"/>
    </row>
    <row r="120" spans="1:13" s="195" customFormat="1" ht="21" customHeight="1">
      <c r="A120" s="146"/>
      <c r="B120" s="466" t="s">
        <v>362</v>
      </c>
      <c r="C120" s="196" t="s">
        <v>331</v>
      </c>
      <c r="D120" s="196">
        <v>2210</v>
      </c>
      <c r="E120" s="196">
        <v>1112</v>
      </c>
      <c r="F120" s="214" t="s">
        <v>330</v>
      </c>
      <c r="G120" s="196" t="s">
        <v>43</v>
      </c>
      <c r="H120" s="196">
        <v>2</v>
      </c>
      <c r="I120" s="196"/>
      <c r="J120" s="420">
        <v>120</v>
      </c>
      <c r="K120" s="139"/>
    </row>
    <row r="121" spans="1:13" s="490" customFormat="1" ht="21" customHeight="1">
      <c r="A121" s="385"/>
      <c r="B121" s="469"/>
      <c r="C121" s="470"/>
      <c r="D121" s="385"/>
      <c r="E121" s="385"/>
      <c r="F121" s="385"/>
      <c r="G121" s="385"/>
      <c r="H121" s="381"/>
      <c r="I121" s="382"/>
      <c r="J121" s="425">
        <f>SUM(J120:J120)</f>
        <v>120</v>
      </c>
      <c r="K121" s="383"/>
    </row>
    <row r="122" spans="1:13" s="195" customFormat="1" ht="21" customHeight="1">
      <c r="A122" s="146"/>
      <c r="B122" s="466" t="s">
        <v>158</v>
      </c>
      <c r="C122" s="196" t="s">
        <v>331</v>
      </c>
      <c r="D122" s="196">
        <v>2210</v>
      </c>
      <c r="E122" s="196">
        <v>1112</v>
      </c>
      <c r="F122" s="214" t="s">
        <v>330</v>
      </c>
      <c r="G122" s="196" t="s">
        <v>43</v>
      </c>
      <c r="H122" s="196">
        <v>8</v>
      </c>
      <c r="I122" s="196"/>
      <c r="J122" s="420">
        <v>400</v>
      </c>
      <c r="K122" s="139"/>
    </row>
    <row r="123" spans="1:13" s="490" customFormat="1" ht="21" customHeight="1">
      <c r="A123" s="385"/>
      <c r="B123" s="469"/>
      <c r="C123" s="470"/>
      <c r="D123" s="385"/>
      <c r="E123" s="385"/>
      <c r="F123" s="385"/>
      <c r="G123" s="385"/>
      <c r="H123" s="381"/>
      <c r="I123" s="382"/>
      <c r="J123" s="425">
        <f>SUM(J122:J122)</f>
        <v>400</v>
      </c>
      <c r="K123" s="383"/>
    </row>
    <row r="124" spans="1:13" s="24" customFormat="1" ht="21" customHeight="1">
      <c r="A124" s="472"/>
      <c r="B124" s="148"/>
      <c r="C124" s="149"/>
      <c r="D124" s="149"/>
      <c r="E124" s="149"/>
      <c r="F124" s="150" t="s">
        <v>44</v>
      </c>
      <c r="G124" s="142"/>
      <c r="H124" s="142"/>
      <c r="I124" s="70"/>
      <c r="J124" s="473">
        <f>J123+J121+J119+J112+J110+J108+J106+J104+J100+J97+J91+J87+J85+J83+J78+J76+J74+J70+J64+J62+J54+J52+J50</f>
        <v>344269.19</v>
      </c>
      <c r="K124" s="71"/>
      <c r="L124" s="489"/>
      <c r="M124" s="489"/>
    </row>
    <row r="125" spans="1:13" s="195" customFormat="1" ht="21" customHeight="1">
      <c r="A125" s="146"/>
      <c r="B125" s="269" t="s">
        <v>299</v>
      </c>
      <c r="C125" s="269"/>
      <c r="D125" s="269"/>
      <c r="E125" s="269"/>
      <c r="F125" s="395"/>
      <c r="G125" s="269"/>
      <c r="H125" s="269"/>
      <c r="I125" s="397"/>
      <c r="J125" s="426"/>
      <c r="K125" s="413"/>
      <c r="L125" s="139"/>
      <c r="M125" s="139"/>
    </row>
    <row r="126" spans="1:13" s="492" customFormat="1" ht="21" customHeight="1">
      <c r="A126" s="387"/>
      <c r="B126" s="401"/>
      <c r="C126" s="401"/>
      <c r="D126" s="401"/>
      <c r="E126" s="401"/>
      <c r="F126" s="402"/>
      <c r="G126" s="401"/>
      <c r="H126" s="401"/>
      <c r="I126" s="404"/>
      <c r="J126" s="427">
        <f>SUM(J125)</f>
        <v>0</v>
      </c>
      <c r="K126" s="474"/>
      <c r="L126" s="491"/>
      <c r="M126" s="491"/>
    </row>
    <row r="127" spans="1:13" s="195" customFormat="1" ht="21" customHeight="1">
      <c r="A127" s="146"/>
      <c r="B127" s="269" t="s">
        <v>302</v>
      </c>
      <c r="C127" s="269"/>
      <c r="D127" s="269"/>
      <c r="E127" s="269"/>
      <c r="F127" s="269"/>
      <c r="G127" s="269"/>
      <c r="H127" s="269"/>
      <c r="I127" s="397"/>
      <c r="J127" s="426"/>
      <c r="K127" s="413"/>
      <c r="L127" s="139"/>
      <c r="M127" s="139"/>
    </row>
    <row r="128" spans="1:13" s="492" customFormat="1" ht="21" customHeight="1">
      <c r="A128" s="387"/>
      <c r="B128" s="401"/>
      <c r="C128" s="401"/>
      <c r="D128" s="401"/>
      <c r="E128" s="401"/>
      <c r="F128" s="402"/>
      <c r="G128" s="401"/>
      <c r="H128" s="401"/>
      <c r="I128" s="404"/>
      <c r="J128" s="427">
        <f>SUM(J127)</f>
        <v>0</v>
      </c>
      <c r="K128" s="474"/>
      <c r="L128" s="491"/>
      <c r="M128" s="491"/>
    </row>
    <row r="129" spans="1:13" s="195" customFormat="1" ht="21" customHeight="1">
      <c r="A129" s="224"/>
      <c r="B129" s="79"/>
      <c r="C129" s="79"/>
      <c r="D129" s="79"/>
      <c r="E129" s="79"/>
      <c r="F129" s="75" t="s">
        <v>6</v>
      </c>
      <c r="G129" s="75"/>
      <c r="H129" s="75"/>
      <c r="I129" s="76"/>
      <c r="J129" s="428">
        <f>J128+J126</f>
        <v>0</v>
      </c>
      <c r="K129" s="77"/>
      <c r="L129" s="139"/>
      <c r="M129" s="489"/>
    </row>
    <row r="130" spans="1:13" s="24" customFormat="1" ht="21.75" customHeight="1" thickBot="1">
      <c r="A130" s="472"/>
      <c r="B130" s="721" t="s">
        <v>363</v>
      </c>
      <c r="C130" s="722"/>
      <c r="D130" s="722"/>
      <c r="E130" s="722"/>
      <c r="F130" s="723"/>
      <c r="G130" s="475"/>
      <c r="H130" s="475"/>
      <c r="I130" s="476"/>
      <c r="J130" s="477">
        <f>J48+J124+J129</f>
        <v>425165.19</v>
      </c>
      <c r="K130" s="478"/>
      <c r="L130" s="489"/>
      <c r="M130" s="489"/>
    </row>
    <row r="131" spans="1:13" s="195" customFormat="1" ht="21.75" customHeight="1">
      <c r="A131" s="479"/>
      <c r="B131" s="480"/>
      <c r="C131" s="480"/>
      <c r="D131" s="480"/>
      <c r="E131" s="480"/>
      <c r="F131" s="480"/>
      <c r="G131" s="480"/>
      <c r="H131" s="480"/>
      <c r="I131" s="481"/>
      <c r="J131" s="482">
        <v>425165.19</v>
      </c>
      <c r="K131" s="483"/>
    </row>
    <row r="132" spans="1:13" s="195" customFormat="1" ht="21.75" customHeight="1">
      <c r="A132" s="479"/>
      <c r="B132" s="480"/>
      <c r="C132" s="480"/>
      <c r="D132" s="480"/>
      <c r="E132" s="480"/>
      <c r="F132" s="480"/>
      <c r="G132" s="480"/>
      <c r="H132" s="480"/>
      <c r="I132" s="481"/>
      <c r="J132" s="482">
        <f>J130-J131</f>
        <v>0</v>
      </c>
      <c r="K132" s="483"/>
    </row>
    <row r="133" spans="1:13">
      <c r="A133" s="144"/>
      <c r="B133" s="707" t="s">
        <v>305</v>
      </c>
      <c r="C133" s="707"/>
      <c r="D133" s="707"/>
      <c r="E133" s="26"/>
      <c r="F133" s="484"/>
      <c r="G133" s="26"/>
      <c r="H133" s="26"/>
      <c r="I133" s="25"/>
      <c r="J133" s="429"/>
      <c r="K133" s="485"/>
    </row>
    <row r="134" spans="1:13">
      <c r="A134" s="62"/>
      <c r="B134" s="707"/>
      <c r="C134" s="707"/>
      <c r="D134" s="707"/>
      <c r="E134" s="707"/>
      <c r="F134" s="66"/>
      <c r="G134" s="26"/>
      <c r="H134" s="26"/>
      <c r="I134" s="25"/>
      <c r="J134" s="429"/>
      <c r="K134" s="485"/>
    </row>
    <row r="135" spans="1:13" s="24" customFormat="1">
      <c r="A135" s="63"/>
      <c r="B135" s="64"/>
      <c r="C135" s="64"/>
      <c r="D135" s="64"/>
      <c r="E135" s="64"/>
      <c r="F135" s="64"/>
      <c r="G135" s="64"/>
      <c r="H135" s="64"/>
      <c r="I135" s="486"/>
      <c r="J135" s="487"/>
      <c r="K135" s="26"/>
    </row>
    <row r="136" spans="1:13">
      <c r="A136" s="25"/>
      <c r="B136" s="26"/>
      <c r="C136" s="26"/>
      <c r="D136" s="26"/>
      <c r="E136" s="26"/>
      <c r="F136" s="26"/>
      <c r="G136" s="26"/>
      <c r="H136" s="26"/>
      <c r="I136" s="27"/>
      <c r="J136" s="430"/>
      <c r="K136" s="64"/>
    </row>
    <row r="137" spans="1:13" s="24" customFormat="1">
      <c r="A137" s="63"/>
      <c r="B137" s="64"/>
      <c r="C137" s="64"/>
      <c r="D137" s="64"/>
      <c r="E137" s="64"/>
      <c r="F137" s="64"/>
      <c r="G137" s="64"/>
      <c r="H137" s="64"/>
      <c r="I137" s="486"/>
      <c r="J137" s="487"/>
      <c r="K137" s="26"/>
    </row>
    <row r="138" spans="1:13">
      <c r="A138" s="25"/>
      <c r="B138" s="26"/>
      <c r="C138" s="26"/>
      <c r="D138" s="26"/>
      <c r="E138" s="26"/>
      <c r="F138" s="26"/>
      <c r="G138" s="26"/>
      <c r="H138" s="26"/>
      <c r="I138" s="30"/>
      <c r="J138" s="430"/>
      <c r="K138" s="63"/>
    </row>
    <row r="139" spans="1:13" s="24" customFormat="1">
      <c r="A139" s="63"/>
      <c r="B139" s="64"/>
      <c r="C139" s="64"/>
      <c r="D139" s="64"/>
      <c r="E139" s="64"/>
      <c r="F139" s="64"/>
      <c r="G139" s="64"/>
      <c r="H139" s="64"/>
      <c r="I139" s="485"/>
      <c r="J139" s="487"/>
      <c r="K139" s="25"/>
    </row>
    <row r="140" spans="1:13">
      <c r="A140" s="25"/>
      <c r="B140" s="26"/>
      <c r="C140" s="26"/>
      <c r="D140" s="26"/>
      <c r="E140" s="26"/>
      <c r="F140" s="26"/>
      <c r="G140" s="26"/>
      <c r="H140" s="26"/>
      <c r="I140" s="30"/>
      <c r="J140" s="430"/>
      <c r="K140" s="63"/>
    </row>
    <row r="141" spans="1:13" s="24" customFormat="1">
      <c r="A141" s="439"/>
      <c r="B141" s="62"/>
      <c r="C141" s="62"/>
      <c r="D141" s="62"/>
      <c r="E141" s="62"/>
      <c r="F141" s="62"/>
      <c r="G141" s="62"/>
      <c r="H141" s="62"/>
      <c r="I141" s="440"/>
      <c r="J141" s="488"/>
    </row>
    <row r="143" spans="1:13" s="24" customFormat="1">
      <c r="A143" s="439"/>
      <c r="B143" s="62"/>
      <c r="C143" s="62"/>
      <c r="D143" s="62"/>
      <c r="E143" s="62"/>
      <c r="F143" s="62"/>
      <c r="G143" s="62"/>
      <c r="H143" s="62"/>
      <c r="I143" s="440"/>
      <c r="J143" s="488"/>
    </row>
    <row r="145" spans="1:10" s="24" customFormat="1">
      <c r="A145" s="439"/>
      <c r="B145" s="62"/>
      <c r="C145" s="62"/>
      <c r="D145" s="62"/>
      <c r="E145" s="62"/>
      <c r="F145" s="62"/>
      <c r="G145" s="62"/>
      <c r="H145" s="62"/>
      <c r="I145" s="440"/>
      <c r="J145" s="488"/>
    </row>
    <row r="147" spans="1:10" s="24" customFormat="1">
      <c r="A147" s="439"/>
      <c r="B147" s="62"/>
      <c r="C147" s="62"/>
      <c r="D147" s="62"/>
      <c r="E147" s="62"/>
      <c r="F147" s="62"/>
      <c r="G147" s="62"/>
      <c r="H147" s="62"/>
      <c r="I147" s="440"/>
      <c r="J147" s="488"/>
    </row>
    <row r="149" spans="1:10" s="24" customFormat="1">
      <c r="A149" s="439"/>
      <c r="B149" s="62"/>
      <c r="C149" s="62"/>
      <c r="D149" s="62"/>
      <c r="E149" s="62"/>
      <c r="F149" s="62"/>
      <c r="G149" s="62"/>
      <c r="H149" s="62"/>
      <c r="I149" s="440"/>
      <c r="J149" s="488"/>
    </row>
    <row r="151" spans="1:10" s="24" customFormat="1">
      <c r="A151" s="439"/>
      <c r="B151" s="62"/>
      <c r="C151" s="62"/>
      <c r="D151" s="62"/>
      <c r="E151" s="62"/>
      <c r="F151" s="62"/>
      <c r="G151" s="62"/>
      <c r="H151" s="62"/>
      <c r="I151" s="440"/>
      <c r="J151" s="488"/>
    </row>
    <row r="153" spans="1:10" s="24" customFormat="1">
      <c r="A153" s="439"/>
      <c r="B153" s="62"/>
      <c r="C153" s="62"/>
      <c r="D153" s="62"/>
      <c r="E153" s="62"/>
      <c r="F153" s="62"/>
      <c r="G153" s="62"/>
      <c r="H153" s="62"/>
      <c r="I153" s="440"/>
      <c r="J153" s="488"/>
    </row>
    <row r="155" spans="1:10" s="24" customFormat="1">
      <c r="A155" s="439"/>
      <c r="B155" s="62"/>
      <c r="C155" s="62"/>
      <c r="D155" s="62"/>
      <c r="E155" s="62"/>
      <c r="F155" s="62"/>
      <c r="G155" s="62"/>
      <c r="H155" s="62"/>
      <c r="I155" s="440"/>
      <c r="J155" s="488"/>
    </row>
    <row r="157" spans="1:10" s="24" customFormat="1">
      <c r="A157" s="439"/>
      <c r="B157" s="62"/>
      <c r="C157" s="62"/>
      <c r="D157" s="62"/>
      <c r="E157" s="62"/>
      <c r="F157" s="62"/>
      <c r="G157" s="62"/>
      <c r="H157" s="62"/>
      <c r="I157" s="440"/>
      <c r="J157" s="488"/>
    </row>
  </sheetData>
  <mergeCells count="5">
    <mergeCell ref="B134:E134"/>
    <mergeCell ref="A1:J1"/>
    <mergeCell ref="A48:I48"/>
    <mergeCell ref="B130:F130"/>
    <mergeCell ref="B133:D133"/>
  </mergeCells>
  <phoneticPr fontId="21" type="noConversion"/>
  <pageMargins left="0.75" right="0.75" top="1" bottom="1" header="0.5" footer="0.5"/>
  <pageSetup paperSize="9" scale="38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160"/>
  <sheetViews>
    <sheetView view="pageBreakPreview" zoomScale="60" zoomScaleNormal="75" workbookViewId="0">
      <selection activeCell="L97" sqref="L97"/>
    </sheetView>
  </sheetViews>
  <sheetFormatPr defaultRowHeight="15.75"/>
  <cols>
    <col min="1" max="1" width="6.7109375" style="5" customWidth="1"/>
    <col min="2" max="2" width="14.42578125" style="5" customWidth="1"/>
    <col min="3" max="3" width="19.140625" style="5" customWidth="1"/>
    <col min="4" max="4" width="8.140625" style="5" customWidth="1"/>
    <col min="5" max="5" width="10.5703125" style="5" customWidth="1"/>
    <col min="6" max="6" width="60.85546875" style="145" customWidth="1"/>
    <col min="7" max="7" width="13.140625" style="5" customWidth="1"/>
    <col min="8" max="8" width="12.7109375" style="145" customWidth="1"/>
    <col min="9" max="9" width="14.140625" style="29" customWidth="1"/>
    <col min="10" max="10" width="21.140625" style="5" customWidth="1"/>
    <col min="11" max="11" width="11.42578125" style="121" customWidth="1"/>
    <col min="12" max="12" width="10.7109375" style="5" bestFit="1" customWidth="1"/>
    <col min="13" max="16384" width="9.140625" style="5"/>
  </cols>
  <sheetData>
    <row r="1" spans="1:13" ht="29.25" customHeight="1" thickBot="1">
      <c r="A1" s="692" t="s">
        <v>197</v>
      </c>
      <c r="B1" s="692"/>
      <c r="C1" s="692"/>
      <c r="D1" s="692"/>
      <c r="E1" s="692"/>
      <c r="F1" s="692"/>
      <c r="G1" s="692"/>
      <c r="H1" s="692"/>
      <c r="I1" s="692"/>
      <c r="J1" s="692"/>
      <c r="K1" s="103"/>
    </row>
    <row r="2" spans="1:13" ht="40.5" customHeight="1" thickBot="1">
      <c r="A2" s="185" t="s">
        <v>0</v>
      </c>
      <c r="B2" s="2" t="s">
        <v>1</v>
      </c>
      <c r="C2" s="2" t="s">
        <v>96</v>
      </c>
      <c r="D2" s="2" t="s">
        <v>2</v>
      </c>
      <c r="E2" s="2" t="s">
        <v>95</v>
      </c>
      <c r="F2" s="2" t="s">
        <v>3</v>
      </c>
      <c r="G2" s="3" t="s">
        <v>97</v>
      </c>
      <c r="H2" s="2" t="s">
        <v>4</v>
      </c>
      <c r="I2" s="4" t="s">
        <v>98</v>
      </c>
      <c r="J2" s="2" t="s">
        <v>99</v>
      </c>
      <c r="K2" s="94"/>
    </row>
    <row r="3" spans="1:13" customFormat="1" ht="21" customHeight="1">
      <c r="A3" s="49">
        <v>15</v>
      </c>
      <c r="B3" s="40" t="s">
        <v>35</v>
      </c>
      <c r="C3" s="694" t="s">
        <v>47</v>
      </c>
      <c r="D3" s="45">
        <v>2210</v>
      </c>
      <c r="E3" s="41">
        <v>1113</v>
      </c>
      <c r="F3" s="41" t="s">
        <v>60</v>
      </c>
      <c r="G3" s="41" t="s">
        <v>11</v>
      </c>
      <c r="H3" s="41">
        <v>12</v>
      </c>
      <c r="I3" s="42"/>
      <c r="J3" s="43">
        <v>7968.12</v>
      </c>
      <c r="K3" s="125"/>
    </row>
    <row r="4" spans="1:13" customFormat="1" ht="21" customHeight="1">
      <c r="A4" s="49"/>
      <c r="B4" s="40"/>
      <c r="C4" s="695"/>
      <c r="D4" s="45">
        <v>2240</v>
      </c>
      <c r="E4" s="41" t="s">
        <v>62</v>
      </c>
      <c r="F4" s="41" t="s">
        <v>61</v>
      </c>
      <c r="G4" s="41" t="s">
        <v>11</v>
      </c>
      <c r="H4" s="165">
        <v>11</v>
      </c>
      <c r="I4" s="166"/>
      <c r="J4" s="167">
        <v>38500</v>
      </c>
      <c r="K4" s="125"/>
      <c r="M4" s="159"/>
    </row>
    <row r="5" spans="1:13" customFormat="1" ht="21" customHeight="1">
      <c r="A5" s="49"/>
      <c r="B5" s="40"/>
      <c r="C5" s="696"/>
      <c r="D5" s="45">
        <v>3110</v>
      </c>
      <c r="E5" s="41">
        <v>1014</v>
      </c>
      <c r="F5" s="41" t="s">
        <v>36</v>
      </c>
      <c r="G5" s="41" t="s">
        <v>11</v>
      </c>
      <c r="H5" s="41">
        <v>2</v>
      </c>
      <c r="I5" s="42"/>
      <c r="J5" s="43">
        <v>49278.35</v>
      </c>
      <c r="K5" s="125"/>
      <c r="M5" s="160"/>
    </row>
    <row r="6" spans="1:13" customFormat="1" ht="21" customHeight="1">
      <c r="A6" s="49"/>
      <c r="B6" s="40"/>
      <c r="C6" s="696"/>
      <c r="D6" s="45">
        <v>2210</v>
      </c>
      <c r="E6" s="41">
        <v>1113</v>
      </c>
      <c r="F6" s="41" t="s">
        <v>63</v>
      </c>
      <c r="G6" s="41" t="s">
        <v>11</v>
      </c>
      <c r="H6" s="41">
        <v>1</v>
      </c>
      <c r="I6" s="42"/>
      <c r="J6" s="43">
        <v>1579.5</v>
      </c>
      <c r="K6" s="125"/>
      <c r="M6" s="160"/>
    </row>
    <row r="7" spans="1:13" customFormat="1" ht="21" customHeight="1">
      <c r="A7" s="49"/>
      <c r="B7" s="40"/>
      <c r="C7" s="697"/>
      <c r="D7" s="45">
        <v>2210</v>
      </c>
      <c r="E7" s="41" t="s">
        <v>15</v>
      </c>
      <c r="F7" s="41" t="s">
        <v>37</v>
      </c>
      <c r="G7" s="41" t="s">
        <v>11</v>
      </c>
      <c r="H7" s="41">
        <v>1</v>
      </c>
      <c r="I7" s="42"/>
      <c r="J7" s="43">
        <v>1053</v>
      </c>
      <c r="K7" s="125"/>
      <c r="M7" s="160"/>
    </row>
    <row r="8" spans="1:13" ht="21" customHeight="1">
      <c r="A8" s="7"/>
      <c r="B8" s="7"/>
      <c r="C8" s="7"/>
      <c r="D8" s="45">
        <v>2210</v>
      </c>
      <c r="E8" s="41">
        <v>1113</v>
      </c>
      <c r="F8" s="41" t="s">
        <v>118</v>
      </c>
      <c r="G8" s="41" t="s">
        <v>11</v>
      </c>
      <c r="H8" s="41">
        <v>1</v>
      </c>
      <c r="I8" s="42">
        <v>1085</v>
      </c>
      <c r="J8" s="43">
        <v>1085</v>
      </c>
      <c r="K8" s="222"/>
    </row>
    <row r="9" spans="1:13" ht="21" customHeight="1">
      <c r="A9" s="7"/>
      <c r="B9" s="7"/>
      <c r="C9" s="7"/>
      <c r="D9" s="45">
        <v>2210</v>
      </c>
      <c r="E9" s="41">
        <v>1113</v>
      </c>
      <c r="F9" s="41" t="s">
        <v>119</v>
      </c>
      <c r="G9" s="41" t="s">
        <v>11</v>
      </c>
      <c r="H9" s="165">
        <v>3</v>
      </c>
      <c r="I9" s="166">
        <v>1097</v>
      </c>
      <c r="J9" s="167">
        <v>3591</v>
      </c>
      <c r="K9" s="222"/>
    </row>
    <row r="10" spans="1:13" ht="21" customHeight="1">
      <c r="A10" s="7"/>
      <c r="B10" s="7"/>
      <c r="C10" s="7"/>
      <c r="D10" s="45">
        <v>2210</v>
      </c>
      <c r="E10" s="41">
        <v>1113</v>
      </c>
      <c r="F10" s="41" t="s">
        <v>120</v>
      </c>
      <c r="G10" s="41" t="s">
        <v>43</v>
      </c>
      <c r="H10" s="41">
        <v>1</v>
      </c>
      <c r="I10" s="42">
        <v>542</v>
      </c>
      <c r="J10" s="43">
        <v>542</v>
      </c>
      <c r="K10" s="222"/>
    </row>
    <row r="11" spans="1:13" ht="21" customHeight="1">
      <c r="A11" s="12"/>
      <c r="B11" s="12"/>
      <c r="C11" s="12"/>
      <c r="D11" s="12"/>
      <c r="E11" s="12"/>
      <c r="F11" s="15" t="s">
        <v>6</v>
      </c>
      <c r="G11" s="12"/>
      <c r="H11" s="13"/>
      <c r="I11" s="14"/>
      <c r="J11" s="36">
        <f>SUM(J3:J10)</f>
        <v>103596.97</v>
      </c>
      <c r="K11" s="96"/>
    </row>
    <row r="12" spans="1:13" customFormat="1" ht="21" customHeight="1">
      <c r="A12" s="39">
        <v>16</v>
      </c>
      <c r="B12" s="135" t="s">
        <v>38</v>
      </c>
      <c r="C12" s="6" t="s">
        <v>5</v>
      </c>
      <c r="D12" s="50">
        <v>2210</v>
      </c>
      <c r="E12" s="39">
        <v>1113</v>
      </c>
      <c r="F12" s="146" t="s">
        <v>64</v>
      </c>
      <c r="G12" s="39" t="s">
        <v>11</v>
      </c>
      <c r="H12" s="146">
        <v>77</v>
      </c>
      <c r="I12" s="139"/>
      <c r="J12" s="140">
        <v>33740</v>
      </c>
      <c r="K12" s="132"/>
    </row>
    <row r="13" spans="1:13" customFormat="1" ht="21" customHeight="1">
      <c r="A13" s="39"/>
      <c r="B13" s="135"/>
      <c r="C13" s="6"/>
      <c r="D13" s="50">
        <v>2210</v>
      </c>
      <c r="E13" s="39">
        <v>1113</v>
      </c>
      <c r="F13" s="146" t="s">
        <v>65</v>
      </c>
      <c r="G13" s="39" t="s">
        <v>11</v>
      </c>
      <c r="H13" s="168">
        <v>1</v>
      </c>
      <c r="I13" s="169"/>
      <c r="J13" s="170">
        <v>3200</v>
      </c>
      <c r="K13" s="132"/>
    </row>
    <row r="14" spans="1:13" ht="29.25" customHeight="1">
      <c r="A14" s="31"/>
      <c r="B14" s="31"/>
      <c r="C14" s="31"/>
      <c r="D14" s="147">
        <v>3110</v>
      </c>
      <c r="E14" s="147">
        <v>1014</v>
      </c>
      <c r="F14" s="146" t="s">
        <v>126</v>
      </c>
      <c r="G14" s="35" t="s">
        <v>11</v>
      </c>
      <c r="H14" s="147">
        <v>1</v>
      </c>
      <c r="I14" s="140">
        <v>8700</v>
      </c>
      <c r="J14" s="152">
        <v>8700</v>
      </c>
      <c r="K14" s="199"/>
    </row>
    <row r="15" spans="1:13" ht="21" customHeight="1">
      <c r="A15" s="31"/>
      <c r="B15" s="31"/>
      <c r="C15" s="31"/>
      <c r="D15" s="147">
        <v>2210</v>
      </c>
      <c r="E15" s="147">
        <v>1113</v>
      </c>
      <c r="F15" s="146" t="s">
        <v>127</v>
      </c>
      <c r="G15" s="35" t="s">
        <v>43</v>
      </c>
      <c r="H15" s="147">
        <v>1</v>
      </c>
      <c r="I15" s="140">
        <v>500</v>
      </c>
      <c r="J15" s="152">
        <v>500</v>
      </c>
      <c r="K15" s="199"/>
    </row>
    <row r="16" spans="1:13" ht="21" customHeight="1">
      <c r="A16" s="31"/>
      <c r="B16" s="31"/>
      <c r="C16" s="31"/>
      <c r="D16" s="41">
        <v>2210</v>
      </c>
      <c r="E16" s="41">
        <v>1113</v>
      </c>
      <c r="F16" s="39" t="s">
        <v>128</v>
      </c>
      <c r="G16" s="45" t="s">
        <v>11</v>
      </c>
      <c r="H16" s="165">
        <f>2+1</f>
        <v>3</v>
      </c>
      <c r="I16" s="166"/>
      <c r="J16" s="167">
        <f>5899.1+5999+1100</f>
        <v>12998.1</v>
      </c>
      <c r="K16" s="235"/>
    </row>
    <row r="17" spans="1:13" ht="21" customHeight="1">
      <c r="A17" s="127"/>
      <c r="B17" s="127"/>
      <c r="C17" s="127"/>
      <c r="D17" s="127"/>
      <c r="E17" s="127"/>
      <c r="F17" s="189" t="s">
        <v>105</v>
      </c>
      <c r="G17" s="127"/>
      <c r="H17" s="190"/>
      <c r="I17" s="129"/>
      <c r="J17" s="130">
        <f>SUM(J12:J16)</f>
        <v>59138.1</v>
      </c>
      <c r="K17" s="191"/>
    </row>
    <row r="18" spans="1:13" ht="21" customHeight="1">
      <c r="A18" s="51">
        <v>17</v>
      </c>
      <c r="B18" s="133" t="s">
        <v>21</v>
      </c>
      <c r="C18" s="134" t="s">
        <v>5</v>
      </c>
      <c r="D18" s="54">
        <v>2210</v>
      </c>
      <c r="E18" s="54">
        <v>1113</v>
      </c>
      <c r="F18" s="171" t="s">
        <v>70</v>
      </c>
      <c r="G18" s="54" t="s">
        <v>11</v>
      </c>
      <c r="H18" s="54">
        <v>9</v>
      </c>
      <c r="I18" s="55"/>
      <c r="J18" s="56">
        <f>2565+7500+3000+2565+2940</f>
        <v>18570</v>
      </c>
      <c r="K18" s="100"/>
    </row>
    <row r="19" spans="1:13" ht="21" customHeight="1">
      <c r="A19" s="31"/>
      <c r="B19" s="31"/>
      <c r="C19" s="31"/>
      <c r="D19" s="31"/>
      <c r="E19" s="31"/>
      <c r="F19" s="188"/>
      <c r="G19" s="31"/>
      <c r="H19" s="35"/>
      <c r="I19" s="32"/>
      <c r="J19" s="32"/>
      <c r="K19" s="100"/>
    </row>
    <row r="20" spans="1:13" ht="21" customHeight="1">
      <c r="A20" s="31"/>
      <c r="B20" s="31"/>
      <c r="C20" s="31"/>
      <c r="D20" s="31"/>
      <c r="E20" s="31"/>
      <c r="F20" s="188"/>
      <c r="G20" s="31"/>
      <c r="H20" s="35"/>
      <c r="I20" s="32"/>
      <c r="J20" s="32"/>
      <c r="K20" s="100"/>
    </row>
    <row r="21" spans="1:13" ht="21" customHeight="1">
      <c r="A21" s="31"/>
      <c r="B21" s="31"/>
      <c r="C21" s="31"/>
      <c r="D21" s="54"/>
      <c r="E21" s="54"/>
      <c r="F21" s="171"/>
      <c r="G21" s="54"/>
      <c r="H21" s="54"/>
      <c r="I21" s="55"/>
      <c r="J21" s="56"/>
      <c r="K21" s="100"/>
    </row>
    <row r="22" spans="1:13" ht="21" customHeight="1">
      <c r="A22" s="31"/>
      <c r="B22" s="31"/>
      <c r="C22" s="31"/>
      <c r="D22" s="31"/>
      <c r="E22" s="31"/>
      <c r="F22" s="188"/>
      <c r="G22" s="31"/>
      <c r="H22" s="35"/>
      <c r="I22" s="32"/>
      <c r="J22" s="32"/>
      <c r="K22" s="100"/>
    </row>
    <row r="23" spans="1:13" ht="21" customHeight="1">
      <c r="A23" s="127"/>
      <c r="B23" s="127"/>
      <c r="C23" s="127"/>
      <c r="D23" s="127"/>
      <c r="E23" s="127"/>
      <c r="F23" s="192" t="s">
        <v>106</v>
      </c>
      <c r="G23" s="127"/>
      <c r="H23" s="190"/>
      <c r="I23" s="129"/>
      <c r="J23" s="130">
        <f>SUM(J18:J22)</f>
        <v>18570</v>
      </c>
      <c r="K23" s="191"/>
    </row>
    <row r="24" spans="1:13" s="28" customFormat="1" ht="21" customHeight="1">
      <c r="A24" s="39">
        <v>18</v>
      </c>
      <c r="B24" s="40" t="s">
        <v>39</v>
      </c>
      <c r="C24" s="41" t="s">
        <v>5</v>
      </c>
      <c r="D24" s="41">
        <v>2210</v>
      </c>
      <c r="E24" s="41">
        <v>1113</v>
      </c>
      <c r="F24" s="146" t="s">
        <v>72</v>
      </c>
      <c r="G24" s="35" t="s">
        <v>11</v>
      </c>
      <c r="H24" s="176">
        <v>3</v>
      </c>
      <c r="I24" s="174"/>
      <c r="J24" s="175">
        <f>2638+2359</f>
        <v>4997</v>
      </c>
      <c r="K24" s="100"/>
    </row>
    <row r="25" spans="1:13" s="28" customFormat="1" ht="21" customHeight="1">
      <c r="A25" s="31"/>
      <c r="B25" s="31"/>
      <c r="C25" s="31"/>
      <c r="D25" s="41">
        <v>2210</v>
      </c>
      <c r="E25" s="41">
        <v>1113</v>
      </c>
      <c r="F25" s="146" t="s">
        <v>71</v>
      </c>
      <c r="G25" s="35" t="s">
        <v>11</v>
      </c>
      <c r="H25" s="176">
        <v>2</v>
      </c>
      <c r="I25" s="170"/>
      <c r="J25" s="175">
        <f>3699+557.91</f>
        <v>4256.91</v>
      </c>
      <c r="K25" s="100"/>
    </row>
    <row r="26" spans="1:13" s="28" customFormat="1" ht="21" customHeight="1">
      <c r="A26" s="31"/>
      <c r="B26" s="31"/>
      <c r="C26" s="31"/>
      <c r="D26" s="31"/>
      <c r="E26" s="31"/>
      <c r="F26" s="353"/>
      <c r="G26" s="31"/>
      <c r="H26" s="35"/>
      <c r="I26" s="32"/>
      <c r="J26" s="186"/>
      <c r="K26" s="100"/>
    </row>
    <row r="27" spans="1:13" ht="21" customHeight="1">
      <c r="A27" s="31"/>
      <c r="B27" s="31"/>
      <c r="C27" s="31"/>
      <c r="D27" s="31"/>
      <c r="E27" s="31"/>
      <c r="F27" s="193"/>
      <c r="G27" s="31"/>
      <c r="H27" s="35"/>
      <c r="I27" s="32"/>
      <c r="J27" s="32"/>
      <c r="K27" s="100"/>
    </row>
    <row r="28" spans="1:13" ht="21" customHeight="1">
      <c r="A28" s="31"/>
      <c r="B28" s="31"/>
      <c r="C28" s="31"/>
      <c r="D28" s="31"/>
      <c r="E28" s="31"/>
      <c r="F28" s="188"/>
      <c r="G28" s="31"/>
      <c r="H28" s="35"/>
      <c r="I28" s="32"/>
      <c r="J28" s="32"/>
      <c r="K28" s="100"/>
    </row>
    <row r="29" spans="1:13" ht="21" customHeight="1">
      <c r="A29" s="31"/>
      <c r="B29" s="31"/>
      <c r="C29" s="31"/>
      <c r="D29" s="31"/>
      <c r="E29" s="31"/>
      <c r="F29" s="188"/>
      <c r="G29" s="31"/>
      <c r="H29" s="35"/>
      <c r="I29" s="32"/>
      <c r="J29" s="186"/>
      <c r="K29" s="100"/>
    </row>
    <row r="30" spans="1:13" ht="16.5" customHeight="1">
      <c r="A30" s="127"/>
      <c r="B30" s="127"/>
      <c r="C30" s="127"/>
      <c r="D30" s="127"/>
      <c r="E30" s="127"/>
      <c r="F30" s="192" t="s">
        <v>106</v>
      </c>
      <c r="G30" s="127"/>
      <c r="H30" s="190"/>
      <c r="I30" s="129"/>
      <c r="J30" s="130">
        <f>SUM(J24:J29)</f>
        <v>9253.91</v>
      </c>
      <c r="K30" s="191"/>
    </row>
    <row r="31" spans="1:13" s="16" customFormat="1" ht="18.75">
      <c r="A31" s="51">
        <v>19</v>
      </c>
      <c r="B31" s="52" t="s">
        <v>22</v>
      </c>
      <c r="C31" s="53" t="s">
        <v>5</v>
      </c>
      <c r="D31" s="54">
        <v>2210</v>
      </c>
      <c r="E31" s="54">
        <v>1113</v>
      </c>
      <c r="F31" s="157" t="s">
        <v>75</v>
      </c>
      <c r="G31" s="54" t="s">
        <v>74</v>
      </c>
      <c r="H31" s="54">
        <v>1</v>
      </c>
      <c r="I31" s="55">
        <v>1695</v>
      </c>
      <c r="J31" s="56">
        <v>1695</v>
      </c>
      <c r="K31" s="100"/>
      <c r="M31" s="37"/>
    </row>
    <row r="32" spans="1:13" s="16" customFormat="1" ht="18.75">
      <c r="A32" s="31"/>
      <c r="B32" s="31"/>
      <c r="C32" s="31"/>
      <c r="D32" s="31"/>
      <c r="E32" s="31"/>
      <c r="F32" s="31"/>
      <c r="G32" s="31"/>
      <c r="H32" s="35"/>
      <c r="I32" s="156"/>
      <c r="J32" s="32"/>
      <c r="K32" s="100"/>
      <c r="M32" s="37"/>
    </row>
    <row r="33" spans="1:13" s="16" customFormat="1" ht="18.75">
      <c r="A33" s="31"/>
      <c r="B33" s="31"/>
      <c r="C33" s="31"/>
      <c r="D33" s="31"/>
      <c r="E33" s="31"/>
      <c r="F33" s="31"/>
      <c r="G33" s="31"/>
      <c r="H33" s="35"/>
      <c r="I33" s="156"/>
      <c r="J33" s="32"/>
      <c r="K33" s="100"/>
      <c r="M33" s="37"/>
    </row>
    <row r="34" spans="1:13" s="16" customFormat="1" ht="18.75">
      <c r="A34" s="31"/>
      <c r="B34" s="31"/>
      <c r="C34" s="31"/>
      <c r="D34" s="31"/>
      <c r="E34" s="31"/>
      <c r="F34" s="31"/>
      <c r="G34" s="31"/>
      <c r="H34" s="35"/>
      <c r="I34" s="156"/>
      <c r="J34" s="32"/>
      <c r="K34" s="100"/>
      <c r="M34" s="37"/>
    </row>
    <row r="35" spans="1:13" s="16" customFormat="1" ht="18.75">
      <c r="A35" s="31"/>
      <c r="B35" s="31"/>
      <c r="C35" s="31"/>
      <c r="D35" s="31"/>
      <c r="E35" s="31"/>
      <c r="F35" s="31"/>
      <c r="G35" s="31"/>
      <c r="H35" s="35"/>
      <c r="I35" s="156"/>
      <c r="J35" s="32"/>
      <c r="K35" s="100"/>
      <c r="M35" s="37"/>
    </row>
    <row r="36" spans="1:13" s="16" customFormat="1" ht="18.75">
      <c r="A36" s="31"/>
      <c r="B36" s="31"/>
      <c r="C36" s="31"/>
      <c r="D36" s="31"/>
      <c r="E36" s="31"/>
      <c r="F36" s="31"/>
      <c r="G36" s="31"/>
      <c r="H36" s="35"/>
      <c r="I36" s="156"/>
      <c r="J36" s="32"/>
      <c r="K36" s="100"/>
      <c r="M36" s="37"/>
    </row>
    <row r="37" spans="1:13" s="16" customFormat="1" ht="21" customHeight="1">
      <c r="A37" s="12"/>
      <c r="B37" s="12"/>
      <c r="C37" s="12"/>
      <c r="D37" s="12"/>
      <c r="E37" s="12"/>
      <c r="F37" s="15" t="s">
        <v>6</v>
      </c>
      <c r="G37" s="12"/>
      <c r="H37" s="13"/>
      <c r="I37" s="14"/>
      <c r="J37" s="36">
        <f>SUM(J31:J35)</f>
        <v>1695</v>
      </c>
      <c r="K37" s="104"/>
      <c r="M37" s="37"/>
    </row>
    <row r="38" spans="1:13" s="1" customFormat="1" ht="21" customHeight="1">
      <c r="A38" s="67">
        <v>20</v>
      </c>
      <c r="B38" s="44" t="s">
        <v>26</v>
      </c>
      <c r="C38" s="7"/>
      <c r="D38" s="45">
        <v>2210</v>
      </c>
      <c r="E38" s="45">
        <v>1113</v>
      </c>
      <c r="F38" s="31" t="s">
        <v>67</v>
      </c>
      <c r="G38" s="45" t="s">
        <v>11</v>
      </c>
      <c r="H38" s="45">
        <v>1</v>
      </c>
      <c r="I38" s="47">
        <v>2700</v>
      </c>
      <c r="J38" s="48">
        <v>2700</v>
      </c>
      <c r="K38" s="123"/>
    </row>
    <row r="39" spans="1:13" s="1" customFormat="1" ht="21" customHeight="1">
      <c r="A39" s="67"/>
      <c r="B39" s="44"/>
      <c r="C39" s="7"/>
      <c r="D39" s="45">
        <v>2210</v>
      </c>
      <c r="E39" s="45">
        <v>1113</v>
      </c>
      <c r="F39" s="31" t="s">
        <v>80</v>
      </c>
      <c r="G39" s="45" t="s">
        <v>43</v>
      </c>
      <c r="H39" s="45">
        <v>13</v>
      </c>
      <c r="I39" s="47">
        <v>1209</v>
      </c>
      <c r="J39" s="48">
        <v>15717</v>
      </c>
      <c r="K39" s="131"/>
    </row>
    <row r="40" spans="1:13" s="1" customFormat="1" ht="21" customHeight="1">
      <c r="A40" s="67"/>
      <c r="B40" s="44"/>
      <c r="C40" s="7"/>
      <c r="D40" s="45">
        <v>2210</v>
      </c>
      <c r="E40" s="45">
        <v>1113</v>
      </c>
      <c r="F40" s="31" t="s">
        <v>81</v>
      </c>
      <c r="G40" s="45" t="s">
        <v>43</v>
      </c>
      <c r="H40" s="45">
        <v>1</v>
      </c>
      <c r="I40" s="47">
        <v>1100</v>
      </c>
      <c r="J40" s="48">
        <v>1100</v>
      </c>
      <c r="K40" s="131"/>
    </row>
    <row r="41" spans="1:13" s="1" customFormat="1" ht="21" customHeight="1">
      <c r="A41" s="67"/>
      <c r="B41" s="44"/>
      <c r="C41" s="7"/>
      <c r="D41" s="45">
        <v>2210</v>
      </c>
      <c r="E41" s="45">
        <v>1113</v>
      </c>
      <c r="F41" s="31" t="s">
        <v>82</v>
      </c>
      <c r="G41" s="45" t="s">
        <v>43</v>
      </c>
      <c r="H41" s="45">
        <v>1</v>
      </c>
      <c r="I41" s="47">
        <v>1331</v>
      </c>
      <c r="J41" s="48">
        <v>1331</v>
      </c>
      <c r="K41" s="131"/>
    </row>
    <row r="42" spans="1:13" s="1" customFormat="1" ht="21" customHeight="1">
      <c r="A42" s="67"/>
      <c r="B42" s="44"/>
      <c r="C42" s="7"/>
      <c r="D42" s="45">
        <v>2210</v>
      </c>
      <c r="E42" s="45">
        <v>1113</v>
      </c>
      <c r="F42" s="31" t="s">
        <v>83</v>
      </c>
      <c r="G42" s="45" t="s">
        <v>43</v>
      </c>
      <c r="H42" s="45">
        <v>1</v>
      </c>
      <c r="I42" s="47">
        <v>1669</v>
      </c>
      <c r="J42" s="48">
        <v>1669</v>
      </c>
      <c r="K42" s="131"/>
    </row>
    <row r="43" spans="1:13" ht="21" customHeight="1">
      <c r="A43" s="7"/>
      <c r="B43" s="7"/>
      <c r="C43" s="7"/>
      <c r="D43" s="45">
        <v>2210</v>
      </c>
      <c r="E43" s="45">
        <v>1113</v>
      </c>
      <c r="F43" s="31" t="s">
        <v>78</v>
      </c>
      <c r="G43" s="45" t="s">
        <v>11</v>
      </c>
      <c r="H43" s="171">
        <v>2</v>
      </c>
      <c r="I43" s="172"/>
      <c r="J43" s="173">
        <f>4444+514</f>
        <v>4958</v>
      </c>
      <c r="K43" s="95"/>
    </row>
    <row r="44" spans="1:13" ht="21" customHeight="1">
      <c r="A44" s="7"/>
      <c r="B44" s="7"/>
      <c r="C44" s="7"/>
      <c r="D44" s="7"/>
      <c r="E44" s="7"/>
      <c r="F44" s="7"/>
      <c r="G44" s="7"/>
      <c r="H44" s="10"/>
      <c r="I44" s="9"/>
      <c r="J44" s="9"/>
      <c r="K44" s="98"/>
    </row>
    <row r="45" spans="1:13" s="16" customFormat="1" ht="21" customHeight="1">
      <c r="A45" s="12"/>
      <c r="B45" s="12"/>
      <c r="C45" s="12"/>
      <c r="D45" s="12"/>
      <c r="E45" s="12"/>
      <c r="F45" s="15" t="s">
        <v>6</v>
      </c>
      <c r="G45" s="12"/>
      <c r="H45" s="17"/>
      <c r="I45" s="14"/>
      <c r="J45" s="36">
        <f>SUM(J38:J44)</f>
        <v>27475</v>
      </c>
      <c r="K45" s="96"/>
    </row>
    <row r="46" spans="1:13" customFormat="1" ht="21" customHeight="1">
      <c r="A46" s="39">
        <v>21</v>
      </c>
      <c r="B46" s="40" t="s">
        <v>41</v>
      </c>
      <c r="C46" s="7"/>
      <c r="D46" s="41">
        <v>3110</v>
      </c>
      <c r="E46" s="41">
        <v>1014</v>
      </c>
      <c r="F46" s="147" t="s">
        <v>86</v>
      </c>
      <c r="G46" s="6" t="s">
        <v>11</v>
      </c>
      <c r="H46" s="41">
        <v>1</v>
      </c>
      <c r="I46" s="42">
        <v>21449</v>
      </c>
      <c r="J46" s="152">
        <v>21449</v>
      </c>
      <c r="K46" s="110"/>
    </row>
    <row r="47" spans="1:13" customFormat="1" ht="21" customHeight="1">
      <c r="A47" s="39"/>
      <c r="B47" s="40"/>
      <c r="C47" s="7"/>
      <c r="D47" s="41">
        <v>3110</v>
      </c>
      <c r="E47" s="41">
        <v>1014</v>
      </c>
      <c r="F47" s="147" t="s">
        <v>84</v>
      </c>
      <c r="G47" s="6" t="s">
        <v>11</v>
      </c>
      <c r="H47" s="41">
        <v>1</v>
      </c>
      <c r="I47" s="166">
        <v>15999</v>
      </c>
      <c r="J47" s="175">
        <v>15999</v>
      </c>
      <c r="K47" s="110"/>
    </row>
    <row r="48" spans="1:13" customFormat="1" ht="21" customHeight="1">
      <c r="A48" s="39"/>
      <c r="B48" s="40"/>
      <c r="C48" s="7"/>
      <c r="D48" s="41">
        <v>3110</v>
      </c>
      <c r="E48" s="41">
        <v>1014</v>
      </c>
      <c r="F48" s="147" t="s">
        <v>85</v>
      </c>
      <c r="G48" s="6" t="s">
        <v>11</v>
      </c>
      <c r="H48" s="41">
        <v>5</v>
      </c>
      <c r="I48" s="166">
        <v>9221</v>
      </c>
      <c r="J48" s="175">
        <v>46105</v>
      </c>
      <c r="K48" s="110"/>
    </row>
    <row r="49" spans="1:12" ht="21" customHeight="1">
      <c r="A49" s="7"/>
      <c r="B49" s="7"/>
      <c r="C49" s="7"/>
      <c r="D49" s="41">
        <v>2210</v>
      </c>
      <c r="E49" s="41">
        <v>1113</v>
      </c>
      <c r="F49" s="147" t="s">
        <v>87</v>
      </c>
      <c r="G49" s="35" t="s">
        <v>11</v>
      </c>
      <c r="H49" s="41">
        <v>8</v>
      </c>
      <c r="I49" s="45"/>
      <c r="J49" s="152">
        <f>2028+912</f>
        <v>2940</v>
      </c>
      <c r="K49" s="95"/>
    </row>
    <row r="50" spans="1:12" ht="21" customHeight="1">
      <c r="A50" s="7"/>
      <c r="B50" s="7"/>
      <c r="C50" s="7"/>
      <c r="D50" s="7"/>
      <c r="E50" s="7"/>
      <c r="F50" s="7"/>
      <c r="G50" s="7"/>
      <c r="H50" s="11"/>
      <c r="I50" s="9"/>
      <c r="J50" s="9"/>
      <c r="K50" s="95"/>
    </row>
    <row r="51" spans="1:12" ht="21" customHeight="1">
      <c r="A51" s="7"/>
      <c r="B51" s="7"/>
      <c r="C51" s="7"/>
      <c r="D51" s="7"/>
      <c r="E51" s="7"/>
      <c r="F51" s="7"/>
      <c r="G51" s="7"/>
      <c r="H51" s="154"/>
      <c r="I51" s="162"/>
      <c r="J51" s="162"/>
      <c r="K51" s="95"/>
    </row>
    <row r="52" spans="1:12" ht="21" customHeight="1">
      <c r="A52" s="7"/>
      <c r="B52" s="7"/>
      <c r="C52" s="7"/>
      <c r="D52" s="7"/>
      <c r="E52" s="7"/>
      <c r="F52" s="7"/>
      <c r="G52" s="7"/>
      <c r="H52" s="11"/>
      <c r="I52" s="9"/>
      <c r="J52" s="9"/>
      <c r="K52" s="95"/>
    </row>
    <row r="53" spans="1:12" s="16" customFormat="1" ht="21" customHeight="1">
      <c r="A53" s="12"/>
      <c r="B53" s="12"/>
      <c r="C53" s="12"/>
      <c r="D53" s="12"/>
      <c r="E53" s="12"/>
      <c r="F53" s="15" t="s">
        <v>6</v>
      </c>
      <c r="G53" s="12"/>
      <c r="H53" s="17"/>
      <c r="I53" s="14"/>
      <c r="J53" s="36">
        <f>SUM(J46:J52)</f>
        <v>86493</v>
      </c>
      <c r="K53" s="96"/>
    </row>
    <row r="54" spans="1:12" customFormat="1" ht="21" customHeight="1">
      <c r="A54" s="49">
        <v>22</v>
      </c>
      <c r="B54" s="52" t="s">
        <v>24</v>
      </c>
      <c r="C54" s="53" t="s">
        <v>5</v>
      </c>
      <c r="D54" s="53">
        <v>2210</v>
      </c>
      <c r="E54" s="53">
        <v>1113</v>
      </c>
      <c r="F54" s="158" t="s">
        <v>90</v>
      </c>
      <c r="G54" s="54" t="s">
        <v>11</v>
      </c>
      <c r="H54" s="53">
        <v>15</v>
      </c>
      <c r="I54" s="58">
        <v>320</v>
      </c>
      <c r="J54" s="59">
        <v>4800</v>
      </c>
      <c r="K54" s="112"/>
    </row>
    <row r="55" spans="1:12" s="16" customFormat="1" ht="21" customHeight="1">
      <c r="A55" s="31"/>
      <c r="B55" s="31"/>
      <c r="C55" s="31"/>
      <c r="D55" s="53">
        <v>2210</v>
      </c>
      <c r="E55" s="53">
        <v>1113</v>
      </c>
      <c r="F55" s="53" t="s">
        <v>93</v>
      </c>
      <c r="G55" s="54" t="s">
        <v>43</v>
      </c>
      <c r="H55" s="165">
        <v>1</v>
      </c>
      <c r="I55" s="166">
        <v>3500</v>
      </c>
      <c r="J55" s="167">
        <v>3500</v>
      </c>
      <c r="K55" s="100"/>
    </row>
    <row r="56" spans="1:12" s="16" customFormat="1" ht="21" customHeight="1">
      <c r="A56" s="31"/>
      <c r="B56" s="31"/>
      <c r="C56" s="31"/>
      <c r="D56" s="41">
        <v>2210</v>
      </c>
      <c r="E56" s="41">
        <v>1113</v>
      </c>
      <c r="F56" s="233" t="s">
        <v>140</v>
      </c>
      <c r="G56" s="45" t="s">
        <v>43</v>
      </c>
      <c r="H56" s="41">
        <v>1</v>
      </c>
      <c r="I56" s="61">
        <v>2900</v>
      </c>
      <c r="J56" s="254">
        <v>2900</v>
      </c>
      <c r="K56" s="100"/>
    </row>
    <row r="57" spans="1:12" s="16" customFormat="1" ht="21" customHeight="1">
      <c r="A57" s="31"/>
      <c r="B57" s="31"/>
      <c r="C57" s="31"/>
      <c r="D57" s="31"/>
      <c r="E57" s="31"/>
      <c r="F57" s="31"/>
      <c r="G57" s="31"/>
      <c r="H57" s="194"/>
      <c r="I57" s="32"/>
      <c r="J57" s="186"/>
      <c r="K57" s="100"/>
    </row>
    <row r="58" spans="1:12" s="16" customFormat="1" ht="21" customHeight="1">
      <c r="A58" s="31"/>
      <c r="B58" s="31"/>
      <c r="C58" s="31"/>
      <c r="D58" s="31"/>
      <c r="E58" s="31"/>
      <c r="F58" s="31"/>
      <c r="G58" s="31"/>
      <c r="H58" s="194"/>
      <c r="I58" s="32"/>
      <c r="J58" s="186"/>
      <c r="K58" s="100"/>
    </row>
    <row r="59" spans="1:12" s="16" customFormat="1" ht="21" customHeight="1">
      <c r="A59" s="31"/>
      <c r="B59" s="31"/>
      <c r="C59" s="31"/>
      <c r="D59" s="31"/>
      <c r="E59" s="31"/>
      <c r="F59" s="31"/>
      <c r="G59" s="31"/>
      <c r="H59" s="194"/>
      <c r="I59" s="32"/>
      <c r="J59" s="186"/>
      <c r="K59" s="100"/>
    </row>
    <row r="60" spans="1:12" s="16" customFormat="1" ht="21" customHeight="1">
      <c r="A60" s="31"/>
      <c r="B60" s="31"/>
      <c r="C60" s="31"/>
      <c r="D60" s="31"/>
      <c r="E60" s="31"/>
      <c r="F60" s="31"/>
      <c r="G60" s="31"/>
      <c r="H60" s="194"/>
      <c r="I60" s="32"/>
      <c r="J60" s="186"/>
      <c r="K60" s="100"/>
    </row>
    <row r="61" spans="1:12" s="16" customFormat="1" ht="21" customHeight="1">
      <c r="A61" s="31"/>
      <c r="B61" s="31"/>
      <c r="C61" s="31"/>
      <c r="D61" s="31"/>
      <c r="E61" s="31"/>
      <c r="F61" s="31"/>
      <c r="G61" s="31"/>
      <c r="H61" s="194"/>
      <c r="I61" s="32"/>
      <c r="J61" s="186"/>
      <c r="K61" s="100"/>
    </row>
    <row r="62" spans="1:12" s="16" customFormat="1" ht="21" customHeight="1">
      <c r="A62" s="31"/>
      <c r="B62" s="31"/>
      <c r="C62" s="31"/>
      <c r="D62" s="31"/>
      <c r="E62" s="31"/>
      <c r="F62" s="31"/>
      <c r="G62" s="31"/>
      <c r="H62" s="194"/>
      <c r="I62" s="32"/>
      <c r="J62" s="186"/>
      <c r="K62" s="100"/>
    </row>
    <row r="63" spans="1:12" s="16" customFormat="1" ht="21" customHeight="1">
      <c r="A63" s="12"/>
      <c r="B63" s="12"/>
      <c r="C63" s="12"/>
      <c r="D63" s="12"/>
      <c r="E63" s="12"/>
      <c r="F63" s="15" t="s">
        <v>6</v>
      </c>
      <c r="G63" s="12"/>
      <c r="H63" s="17"/>
      <c r="I63" s="14"/>
      <c r="J63" s="36">
        <f>SUM(J54:J62)</f>
        <v>11200</v>
      </c>
      <c r="K63" s="104"/>
    </row>
    <row r="64" spans="1:12" s="23" customFormat="1" ht="21" customHeight="1">
      <c r="A64" s="213">
        <v>13</v>
      </c>
      <c r="B64" s="195" t="s">
        <v>129</v>
      </c>
      <c r="C64" s="196" t="s">
        <v>130</v>
      </c>
      <c r="D64" s="196">
        <v>2210</v>
      </c>
      <c r="E64" s="196">
        <v>1113</v>
      </c>
      <c r="F64" s="214" t="s">
        <v>115</v>
      </c>
      <c r="G64" s="196" t="s">
        <v>43</v>
      </c>
      <c r="H64" s="196">
        <v>1</v>
      </c>
      <c r="I64" s="196">
        <v>1950</v>
      </c>
      <c r="J64" s="32">
        <v>1950</v>
      </c>
      <c r="K64" s="215"/>
      <c r="L64" s="38"/>
    </row>
    <row r="65" spans="1:12" s="28" customFormat="1" ht="21" customHeight="1">
      <c r="A65" s="31"/>
      <c r="B65" s="31"/>
      <c r="C65" s="31"/>
      <c r="D65" s="31"/>
      <c r="E65" s="31"/>
      <c r="F65" s="354"/>
      <c r="G65" s="31"/>
      <c r="H65" s="194"/>
      <c r="I65" s="32"/>
      <c r="J65" s="186"/>
      <c r="K65" s="100"/>
    </row>
    <row r="66" spans="1:12" s="28" customFormat="1" ht="21" customHeight="1">
      <c r="A66" s="31"/>
      <c r="B66" s="31"/>
      <c r="C66" s="31"/>
      <c r="D66" s="31"/>
      <c r="E66" s="31"/>
      <c r="F66" s="354"/>
      <c r="G66" s="31"/>
      <c r="H66" s="194"/>
      <c r="I66" s="32"/>
      <c r="J66" s="186"/>
      <c r="K66" s="100"/>
    </row>
    <row r="67" spans="1:12" s="28" customFormat="1" ht="21" customHeight="1">
      <c r="A67" s="31"/>
      <c r="B67" s="31"/>
      <c r="C67" s="31"/>
      <c r="D67" s="31"/>
      <c r="E67" s="31"/>
      <c r="F67" s="354"/>
      <c r="G67" s="31"/>
      <c r="H67" s="194"/>
      <c r="I67" s="32"/>
      <c r="J67" s="186"/>
      <c r="K67" s="100"/>
    </row>
    <row r="68" spans="1:12" ht="21" customHeight="1">
      <c r="A68" s="7"/>
      <c r="B68" s="7"/>
      <c r="C68" s="7"/>
      <c r="D68" s="7"/>
      <c r="E68" s="7"/>
      <c r="F68" s="7"/>
      <c r="G68" s="7"/>
      <c r="H68" s="11"/>
      <c r="I68" s="9"/>
      <c r="J68" s="9"/>
      <c r="K68" s="97"/>
    </row>
    <row r="69" spans="1:12" s="16" customFormat="1" ht="21" customHeight="1">
      <c r="A69" s="12"/>
      <c r="B69" s="12"/>
      <c r="C69" s="12"/>
      <c r="D69" s="12"/>
      <c r="E69" s="12"/>
      <c r="F69" s="15" t="s">
        <v>6</v>
      </c>
      <c r="G69" s="12"/>
      <c r="H69" s="20"/>
      <c r="I69" s="14"/>
      <c r="J69" s="36">
        <f>SUM(J64:J68)</f>
        <v>1950</v>
      </c>
      <c r="K69" s="107"/>
    </row>
    <row r="70" spans="1:12" s="23" customFormat="1" ht="21" customHeight="1">
      <c r="A70" s="196">
        <v>14</v>
      </c>
      <c r="B70" s="195" t="s">
        <v>116</v>
      </c>
      <c r="C70" s="196" t="s">
        <v>5</v>
      </c>
      <c r="D70" s="196">
        <v>2210</v>
      </c>
      <c r="E70" s="196">
        <v>1113</v>
      </c>
      <c r="F70" s="214" t="s">
        <v>199</v>
      </c>
      <c r="G70" s="196" t="s">
        <v>43</v>
      </c>
      <c r="H70" s="196">
        <v>9</v>
      </c>
      <c r="I70" s="197"/>
      <c r="J70" s="32">
        <v>12423</v>
      </c>
      <c r="K70" s="215"/>
      <c r="L70" s="38"/>
    </row>
    <row r="71" spans="1:12" ht="21" customHeight="1">
      <c r="A71" s="7"/>
      <c r="B71" s="7"/>
      <c r="C71" s="7"/>
      <c r="D71" s="7"/>
      <c r="E71" s="7"/>
      <c r="F71" s="7"/>
      <c r="G71" s="7"/>
      <c r="H71" s="19"/>
      <c r="I71" s="9"/>
      <c r="J71" s="9"/>
      <c r="K71" s="95"/>
    </row>
    <row r="72" spans="1:12" ht="21" customHeight="1">
      <c r="A72" s="7"/>
      <c r="B72" s="7"/>
      <c r="C72" s="7"/>
      <c r="D72" s="7"/>
      <c r="E72" s="7"/>
      <c r="F72" s="7"/>
      <c r="G72" s="7"/>
      <c r="H72" s="19"/>
      <c r="I72" s="9"/>
      <c r="J72" s="9"/>
      <c r="K72" s="95"/>
    </row>
    <row r="73" spans="1:12" ht="21" customHeight="1">
      <c r="A73" s="7"/>
      <c r="B73" s="7"/>
      <c r="C73" s="7"/>
      <c r="D73" s="7"/>
      <c r="E73" s="7"/>
      <c r="F73" s="7"/>
      <c r="G73" s="7"/>
      <c r="H73" s="19"/>
      <c r="I73" s="9"/>
      <c r="J73" s="9"/>
      <c r="K73" s="95"/>
    </row>
    <row r="74" spans="1:12" ht="21" customHeight="1">
      <c r="A74" s="7"/>
      <c r="B74" s="7"/>
      <c r="C74" s="7"/>
      <c r="D74" s="7"/>
      <c r="E74" s="7"/>
      <c r="F74" s="7"/>
      <c r="G74" s="7"/>
      <c r="H74" s="10"/>
      <c r="I74" s="10"/>
      <c r="J74" s="9"/>
      <c r="K74" s="95"/>
    </row>
    <row r="75" spans="1:12" s="16" customFormat="1" ht="21" customHeight="1">
      <c r="A75" s="12"/>
      <c r="B75" s="12"/>
      <c r="C75" s="12"/>
      <c r="D75" s="12"/>
      <c r="E75" s="12"/>
      <c r="F75" s="15" t="s">
        <v>6</v>
      </c>
      <c r="G75" s="12"/>
      <c r="H75" s="20"/>
      <c r="I75" s="14"/>
      <c r="J75" s="36">
        <f>SUM(J70:J74)</f>
        <v>12423</v>
      </c>
      <c r="K75" s="107"/>
    </row>
    <row r="76" spans="1:12" customFormat="1" ht="21" customHeight="1">
      <c r="A76" s="7">
        <v>18</v>
      </c>
      <c r="B76" s="225" t="s">
        <v>121</v>
      </c>
      <c r="C76" s="226" t="s">
        <v>5</v>
      </c>
      <c r="D76" s="10">
        <v>3110</v>
      </c>
      <c r="E76" s="10">
        <v>1014</v>
      </c>
      <c r="F76" s="10" t="s">
        <v>122</v>
      </c>
      <c r="G76" s="10" t="s">
        <v>11</v>
      </c>
      <c r="H76" s="10">
        <v>1</v>
      </c>
      <c r="I76" s="9">
        <v>10000</v>
      </c>
      <c r="J76" s="243">
        <v>10000</v>
      </c>
      <c r="K76" s="228"/>
    </row>
    <row r="77" spans="1:12" customFormat="1" ht="21" customHeight="1">
      <c r="A77" s="7"/>
      <c r="B77" s="225"/>
      <c r="C77" s="226"/>
      <c r="D77" s="10">
        <v>2210</v>
      </c>
      <c r="E77" s="10">
        <v>1113</v>
      </c>
      <c r="F77" s="10" t="s">
        <v>124</v>
      </c>
      <c r="G77" s="10" t="s">
        <v>11</v>
      </c>
      <c r="H77" s="161">
        <f>1+1+1</f>
        <v>3</v>
      </c>
      <c r="I77" s="162"/>
      <c r="J77" s="229">
        <f>4000+1500+2000</f>
        <v>7500</v>
      </c>
      <c r="K77" s="228"/>
    </row>
    <row r="78" spans="1:12" customFormat="1" ht="21" customHeight="1">
      <c r="A78" s="7"/>
      <c r="B78" s="225"/>
      <c r="C78" s="226"/>
      <c r="D78" s="10">
        <v>2210</v>
      </c>
      <c r="E78" s="10">
        <v>1113</v>
      </c>
      <c r="F78" s="10" t="s">
        <v>123</v>
      </c>
      <c r="G78" s="10" t="s">
        <v>11</v>
      </c>
      <c r="H78" s="161">
        <v>1</v>
      </c>
      <c r="I78" s="162">
        <v>4000</v>
      </c>
      <c r="J78" s="229">
        <v>4000</v>
      </c>
      <c r="K78" s="228"/>
    </row>
    <row r="79" spans="1:12" customFormat="1" ht="21" customHeight="1">
      <c r="A79" s="7"/>
      <c r="B79" s="225"/>
      <c r="C79" s="226"/>
      <c r="D79" s="10">
        <v>2210</v>
      </c>
      <c r="E79" s="10">
        <v>1113</v>
      </c>
      <c r="F79" s="10" t="s">
        <v>125</v>
      </c>
      <c r="G79" s="10" t="s">
        <v>11</v>
      </c>
      <c r="H79" s="10">
        <f>1+1</f>
        <v>2</v>
      </c>
      <c r="I79" s="9"/>
      <c r="J79" s="227">
        <f>1000+1000</f>
        <v>2000</v>
      </c>
      <c r="K79" s="228"/>
    </row>
    <row r="80" spans="1:12" ht="21" customHeight="1">
      <c r="A80" s="7"/>
      <c r="B80" s="7"/>
      <c r="C80" s="7"/>
      <c r="D80" s="10">
        <v>2210</v>
      </c>
      <c r="E80" s="10">
        <v>1113</v>
      </c>
      <c r="F80" s="10" t="s">
        <v>139</v>
      </c>
      <c r="G80" s="10" t="s">
        <v>43</v>
      </c>
      <c r="H80" s="10">
        <v>31</v>
      </c>
      <c r="I80" s="9">
        <v>345.96</v>
      </c>
      <c r="J80" s="262">
        <v>10724.76</v>
      </c>
      <c r="K80" s="99"/>
    </row>
    <row r="81" spans="1:17" s="16" customFormat="1" ht="21" customHeight="1">
      <c r="A81" s="12"/>
      <c r="B81" s="12"/>
      <c r="C81" s="12"/>
      <c r="D81" s="12"/>
      <c r="E81" s="12"/>
      <c r="F81" s="15" t="s">
        <v>6</v>
      </c>
      <c r="G81" s="12"/>
      <c r="H81" s="20"/>
      <c r="I81" s="14"/>
      <c r="J81" s="36">
        <f>SUM(J76:J80)</f>
        <v>34224.76</v>
      </c>
      <c r="K81" s="101"/>
    </row>
    <row r="82" spans="1:17" s="28" customFormat="1" ht="21" customHeight="1">
      <c r="A82" s="196">
        <v>15</v>
      </c>
      <c r="B82" s="263" t="s">
        <v>148</v>
      </c>
      <c r="C82" s="264" t="s">
        <v>5</v>
      </c>
      <c r="D82" s="196">
        <v>2210</v>
      </c>
      <c r="E82" s="196">
        <v>1113</v>
      </c>
      <c r="F82" s="196" t="s">
        <v>149</v>
      </c>
      <c r="G82" s="196" t="s">
        <v>43</v>
      </c>
      <c r="H82" s="196">
        <v>2</v>
      </c>
      <c r="I82" s="196"/>
      <c r="J82" s="32">
        <f>3999+4877</f>
        <v>8876</v>
      </c>
      <c r="K82" s="265"/>
    </row>
    <row r="83" spans="1:17" s="16" customFormat="1" ht="21" customHeight="1">
      <c r="A83" s="31"/>
      <c r="B83" s="31"/>
      <c r="C83" s="31"/>
      <c r="D83" s="31"/>
      <c r="E83" s="31"/>
      <c r="F83" s="31"/>
      <c r="G83" s="31"/>
      <c r="H83" s="163"/>
      <c r="I83" s="162"/>
      <c r="J83" s="162"/>
      <c r="K83" s="199"/>
    </row>
    <row r="84" spans="1:17" s="16" customFormat="1" ht="21" customHeight="1">
      <c r="A84" s="31"/>
      <c r="B84" s="31"/>
      <c r="C84" s="31"/>
      <c r="D84" s="31"/>
      <c r="E84" s="31"/>
      <c r="F84" s="31"/>
      <c r="G84" s="31"/>
      <c r="H84" s="163"/>
      <c r="I84" s="162"/>
      <c r="J84" s="162"/>
      <c r="K84" s="199"/>
    </row>
    <row r="85" spans="1:17" s="16" customFormat="1" ht="21" customHeight="1">
      <c r="A85" s="31"/>
      <c r="B85" s="31"/>
      <c r="C85" s="31"/>
      <c r="D85" s="31"/>
      <c r="E85" s="31"/>
      <c r="F85" s="31"/>
      <c r="G85" s="31"/>
      <c r="H85" s="163"/>
      <c r="I85" s="162"/>
      <c r="J85" s="162"/>
      <c r="K85" s="199"/>
    </row>
    <row r="86" spans="1:17" s="16" customFormat="1" ht="21" customHeight="1">
      <c r="A86" s="31"/>
      <c r="B86" s="31"/>
      <c r="C86" s="31"/>
      <c r="D86" s="31"/>
      <c r="E86" s="31"/>
      <c r="F86" s="31"/>
      <c r="G86" s="31"/>
      <c r="H86" s="163"/>
      <c r="I86" s="162"/>
      <c r="J86" s="162"/>
      <c r="K86" s="199"/>
    </row>
    <row r="87" spans="1:17" s="16" customFormat="1" ht="21" customHeight="1">
      <c r="A87" s="127"/>
      <c r="B87" s="127"/>
      <c r="C87" s="127"/>
      <c r="D87" s="127"/>
      <c r="E87" s="127"/>
      <c r="F87" s="126" t="s">
        <v>6</v>
      </c>
      <c r="G87" s="200"/>
      <c r="H87" s="201"/>
      <c r="I87" s="202"/>
      <c r="J87" s="203">
        <f>SUM(J82:J86)</f>
        <v>8876</v>
      </c>
      <c r="K87" s="204"/>
    </row>
    <row r="88" spans="1:17" ht="18.75">
      <c r="A88" s="7"/>
      <c r="B88" s="263" t="s">
        <v>153</v>
      </c>
      <c r="C88" s="264" t="s">
        <v>5</v>
      </c>
      <c r="D88" s="196">
        <v>2210</v>
      </c>
      <c r="E88" s="196">
        <v>1113</v>
      </c>
      <c r="F88" s="196" t="s">
        <v>154</v>
      </c>
      <c r="G88" s="196" t="s">
        <v>43</v>
      </c>
      <c r="H88" s="196">
        <v>1</v>
      </c>
      <c r="I88" s="196">
        <v>1200</v>
      </c>
      <c r="J88" s="32">
        <v>1200</v>
      </c>
      <c r="K88" s="205"/>
    </row>
    <row r="89" spans="1:17" ht="19.5">
      <c r="A89" s="7"/>
      <c r="B89" s="7"/>
      <c r="C89" s="7"/>
      <c r="D89" s="196">
        <v>2210</v>
      </c>
      <c r="E89" s="196">
        <v>1113</v>
      </c>
      <c r="F89" s="196" t="s">
        <v>155</v>
      </c>
      <c r="G89" s="196" t="s">
        <v>43</v>
      </c>
      <c r="H89" s="196">
        <v>12</v>
      </c>
      <c r="I89" s="197"/>
      <c r="J89" s="32">
        <f>700+4600+8000+7600+1500+1000</f>
        <v>23400</v>
      </c>
      <c r="K89" s="205"/>
    </row>
    <row r="90" spans="1:17" ht="18.75">
      <c r="A90" s="7"/>
      <c r="B90" s="7"/>
      <c r="C90" s="7"/>
      <c r="D90" s="7"/>
      <c r="E90" s="7"/>
      <c r="F90" s="21"/>
      <c r="G90" s="7"/>
      <c r="H90" s="163"/>
      <c r="I90" s="162"/>
      <c r="J90" s="162"/>
      <c r="K90" s="205"/>
    </row>
    <row r="91" spans="1:17" ht="18.75">
      <c r="A91" s="7"/>
      <c r="B91" s="7"/>
      <c r="C91" s="7"/>
      <c r="D91" s="7"/>
      <c r="E91" s="7"/>
      <c r="F91" s="21"/>
      <c r="G91" s="7"/>
      <c r="H91" s="163"/>
      <c r="I91" s="162"/>
      <c r="J91" s="162"/>
      <c r="K91" s="205"/>
    </row>
    <row r="92" spans="1:17" ht="18.75">
      <c r="A92" s="7"/>
      <c r="B92" s="7"/>
      <c r="C92" s="7"/>
      <c r="D92" s="7"/>
      <c r="E92" s="7"/>
      <c r="F92" s="21"/>
      <c r="G92" s="7"/>
      <c r="H92" s="163"/>
      <c r="I92" s="162"/>
      <c r="J92" s="162"/>
      <c r="K92" s="205"/>
    </row>
    <row r="93" spans="1:17" s="16" customFormat="1" ht="21" customHeight="1">
      <c r="A93" s="12"/>
      <c r="B93" s="12"/>
      <c r="C93" s="12"/>
      <c r="D93" s="12"/>
      <c r="E93" s="12"/>
      <c r="F93" s="22" t="s">
        <v>6</v>
      </c>
      <c r="G93" s="206"/>
      <c r="H93" s="207"/>
      <c r="I93" s="208"/>
      <c r="J93" s="209">
        <f>SUM(J88:J92)</f>
        <v>24600</v>
      </c>
      <c r="K93" s="210"/>
      <c r="L93" s="5"/>
      <c r="M93" s="5"/>
      <c r="N93" s="5"/>
      <c r="O93" s="5"/>
      <c r="P93" s="5"/>
      <c r="Q93" s="5"/>
    </row>
    <row r="94" spans="1:17" s="23" customFormat="1" ht="21" customHeight="1">
      <c r="A94" s="708" t="s">
        <v>200</v>
      </c>
      <c r="B94" s="708"/>
      <c r="C94" s="708"/>
      <c r="D94" s="708"/>
      <c r="E94" s="708"/>
      <c r="F94" s="708"/>
      <c r="G94" s="708"/>
      <c r="H94" s="708"/>
      <c r="I94" s="708"/>
      <c r="J94" s="211">
        <f>J93+J87+J81+J75+J69+J63+J53+J45+J37+J30+J23+J17+J11</f>
        <v>399495.74</v>
      </c>
      <c r="K94" s="212"/>
      <c r="L94" s="38"/>
    </row>
    <row r="95" spans="1:17" s="23" customFormat="1" ht="21" customHeight="1">
      <c r="A95" s="213"/>
      <c r="B95" s="195"/>
      <c r="C95" s="196"/>
      <c r="D95" s="196"/>
      <c r="E95" s="196"/>
      <c r="F95" s="214"/>
      <c r="G95" s="196"/>
      <c r="H95" s="196"/>
      <c r="I95" s="196"/>
      <c r="J95" s="32"/>
      <c r="K95" s="215"/>
      <c r="L95" s="38"/>
    </row>
    <row r="96" spans="1:17" s="23" customFormat="1" ht="21" customHeight="1" thickBot="1">
      <c r="A96" s="198"/>
      <c r="B96" s="216"/>
      <c r="C96" s="198"/>
      <c r="D96" s="198"/>
      <c r="E96" s="198"/>
      <c r="F96" s="217" t="s">
        <v>6</v>
      </c>
      <c r="G96" s="198"/>
      <c r="H96" s="198"/>
      <c r="I96" s="198"/>
      <c r="J96" s="36"/>
      <c r="K96" s="218"/>
      <c r="L96" s="38"/>
    </row>
    <row r="97" spans="1:13" s="23" customFormat="1" ht="21" customHeight="1">
      <c r="A97" s="196"/>
      <c r="B97" s="195"/>
      <c r="C97" s="196"/>
      <c r="D97" s="196"/>
      <c r="E97" s="196"/>
      <c r="F97" s="214"/>
      <c r="G97" s="196"/>
      <c r="H97" s="196"/>
      <c r="I97" s="197"/>
      <c r="J97" s="32"/>
      <c r="K97" s="215"/>
      <c r="L97" s="38"/>
    </row>
    <row r="98" spans="1:13" s="23" customFormat="1" ht="21" customHeight="1">
      <c r="A98" s="196"/>
      <c r="B98" s="195"/>
      <c r="C98" s="196"/>
      <c r="D98" s="196"/>
      <c r="E98" s="196"/>
      <c r="F98" s="214"/>
      <c r="G98" s="196"/>
      <c r="H98" s="196"/>
      <c r="I98" s="197"/>
      <c r="J98" s="32"/>
      <c r="K98" s="215"/>
      <c r="L98" s="38"/>
    </row>
    <row r="99" spans="1:13" s="23" customFormat="1" ht="21" customHeight="1">
      <c r="A99" s="196"/>
      <c r="B99" s="139"/>
      <c r="C99" s="196"/>
      <c r="D99" s="196"/>
      <c r="E99" s="196"/>
      <c r="F99" s="214"/>
      <c r="G99" s="196"/>
      <c r="H99" s="196"/>
      <c r="I99" s="197"/>
      <c r="J99" s="32"/>
      <c r="K99" s="215"/>
      <c r="L99" s="38"/>
    </row>
    <row r="100" spans="1:13" s="23" customFormat="1" ht="21" customHeight="1">
      <c r="A100" s="196"/>
      <c r="B100" s="195"/>
      <c r="C100" s="196"/>
      <c r="D100" s="196"/>
      <c r="E100" s="196"/>
      <c r="F100" s="214"/>
      <c r="G100" s="196"/>
      <c r="H100" s="196"/>
      <c r="I100" s="197"/>
      <c r="J100" s="32"/>
      <c r="K100" s="215"/>
      <c r="L100" s="38"/>
    </row>
    <row r="101" spans="1:13" s="23" customFormat="1" ht="21" customHeight="1">
      <c r="A101" s="197"/>
      <c r="B101" s="219"/>
      <c r="C101" s="197"/>
      <c r="D101" s="196"/>
      <c r="E101" s="196"/>
      <c r="F101" s="196"/>
      <c r="G101" s="196"/>
      <c r="H101" s="196"/>
      <c r="I101" s="197"/>
      <c r="J101" s="32"/>
      <c r="K101" s="215"/>
      <c r="L101" s="38"/>
    </row>
    <row r="102" spans="1:13" s="23" customFormat="1" ht="21" customHeight="1">
      <c r="A102" s="197"/>
      <c r="B102" s="219"/>
      <c r="C102" s="197"/>
      <c r="D102" s="196"/>
      <c r="E102" s="196"/>
      <c r="F102" s="196"/>
      <c r="G102" s="196"/>
      <c r="H102" s="196"/>
      <c r="I102" s="197"/>
      <c r="J102" s="32"/>
      <c r="K102" s="215"/>
      <c r="L102" s="38"/>
    </row>
    <row r="103" spans="1:13" s="23" customFormat="1" ht="21" customHeight="1">
      <c r="A103" s="197"/>
      <c r="B103" s="219"/>
      <c r="C103" s="197"/>
      <c r="D103" s="196"/>
      <c r="E103" s="196"/>
      <c r="F103" s="196"/>
      <c r="G103" s="196"/>
      <c r="H103" s="196"/>
      <c r="I103" s="197"/>
      <c r="J103" s="32"/>
      <c r="K103" s="215"/>
      <c r="L103" s="38"/>
    </row>
    <row r="104" spans="1:13" s="23" customFormat="1" ht="21" customHeight="1">
      <c r="A104" s="197"/>
      <c r="B104" s="219"/>
      <c r="C104" s="197"/>
      <c r="D104" s="196"/>
      <c r="E104" s="196"/>
      <c r="F104" s="196"/>
      <c r="G104" s="196"/>
      <c r="H104" s="196"/>
      <c r="I104" s="197"/>
      <c r="J104" s="32"/>
      <c r="K104" s="215"/>
      <c r="L104" s="38"/>
    </row>
    <row r="105" spans="1:13" s="23" customFormat="1" ht="21" customHeight="1">
      <c r="A105" s="240"/>
      <c r="B105" s="242"/>
      <c r="C105" s="240"/>
      <c r="D105" s="239"/>
      <c r="E105" s="239"/>
      <c r="F105" s="239" t="s">
        <v>117</v>
      </c>
      <c r="G105" s="239"/>
      <c r="H105" s="240"/>
      <c r="I105" s="240"/>
      <c r="J105" s="130">
        <f>SUM(J97:J104)</f>
        <v>0</v>
      </c>
      <c r="K105" s="241"/>
      <c r="L105" s="38"/>
    </row>
    <row r="106" spans="1:13" customFormat="1" ht="21" customHeight="1">
      <c r="A106" s="49"/>
      <c r="B106" s="40"/>
      <c r="C106" s="46"/>
      <c r="D106" s="45"/>
      <c r="E106" s="41"/>
      <c r="F106" s="41"/>
      <c r="G106" s="41"/>
      <c r="H106" s="41"/>
      <c r="I106" s="42"/>
      <c r="J106" s="43"/>
      <c r="K106" s="220"/>
    </row>
    <row r="107" spans="1:13" customFormat="1" ht="21" customHeight="1">
      <c r="A107" s="49"/>
      <c r="B107" s="40"/>
      <c r="C107" s="46"/>
      <c r="D107" s="45"/>
      <c r="E107" s="41"/>
      <c r="F107" s="41"/>
      <c r="G107" s="41"/>
      <c r="H107" s="41"/>
      <c r="I107" s="42"/>
      <c r="J107" s="43"/>
      <c r="K107" s="220"/>
    </row>
    <row r="108" spans="1:13" customFormat="1" ht="21" customHeight="1">
      <c r="A108" s="72"/>
      <c r="B108" s="74"/>
      <c r="C108" s="153"/>
      <c r="D108" s="87"/>
      <c r="E108" s="74"/>
      <c r="F108" s="74" t="s">
        <v>6</v>
      </c>
      <c r="G108" s="74"/>
      <c r="H108" s="74"/>
      <c r="I108" s="88"/>
      <c r="J108" s="244">
        <f>SUM(J106:J107)</f>
        <v>0</v>
      </c>
      <c r="K108" s="221"/>
    </row>
    <row r="109" spans="1:13" customFormat="1" ht="21" customHeight="1">
      <c r="A109" s="49"/>
      <c r="B109" s="40"/>
      <c r="C109" s="709"/>
      <c r="D109" s="45"/>
      <c r="E109" s="41"/>
      <c r="F109" s="41"/>
      <c r="G109" s="41"/>
      <c r="H109" s="41"/>
      <c r="I109" s="42"/>
      <c r="J109" s="43"/>
      <c r="K109" s="222"/>
    </row>
    <row r="110" spans="1:13" customFormat="1" ht="21" customHeight="1">
      <c r="A110" s="49"/>
      <c r="B110" s="40"/>
      <c r="C110" s="696"/>
      <c r="D110" s="45"/>
      <c r="E110" s="41"/>
      <c r="F110" s="41"/>
      <c r="G110" s="41"/>
      <c r="H110" s="165"/>
      <c r="I110" s="166"/>
      <c r="J110" s="167"/>
      <c r="K110" s="222"/>
      <c r="M110" s="159"/>
    </row>
    <row r="111" spans="1:13" customFormat="1" ht="21" customHeight="1">
      <c r="A111" s="49"/>
      <c r="B111" s="40"/>
      <c r="C111" s="696"/>
      <c r="D111" s="45"/>
      <c r="E111" s="41"/>
      <c r="F111" s="41"/>
      <c r="G111" s="41"/>
      <c r="H111" s="41"/>
      <c r="I111" s="42"/>
      <c r="J111" s="43"/>
      <c r="K111" s="222"/>
      <c r="M111" s="160"/>
    </row>
    <row r="112" spans="1:13" customFormat="1" ht="21" customHeight="1">
      <c r="A112" s="49"/>
      <c r="B112" s="40"/>
      <c r="C112" s="696"/>
      <c r="D112" s="45"/>
      <c r="E112" s="41"/>
      <c r="F112" s="41"/>
      <c r="G112" s="41"/>
      <c r="H112" s="41"/>
      <c r="I112" s="42"/>
      <c r="J112" s="43"/>
      <c r="K112" s="222"/>
      <c r="M112" s="160"/>
    </row>
    <row r="113" spans="1:13" customFormat="1" ht="21" customHeight="1">
      <c r="A113" s="49"/>
      <c r="B113" s="40"/>
      <c r="C113" s="696"/>
      <c r="D113" s="45"/>
      <c r="E113" s="41"/>
      <c r="F113" s="41"/>
      <c r="G113" s="41"/>
      <c r="H113" s="41"/>
      <c r="I113" s="42"/>
      <c r="J113" s="43"/>
      <c r="K113" s="222"/>
      <c r="M113" s="160"/>
    </row>
    <row r="114" spans="1:13" customFormat="1" ht="21" customHeight="1">
      <c r="A114" s="49"/>
      <c r="B114" s="40"/>
      <c r="C114" s="697"/>
      <c r="D114" s="45"/>
      <c r="E114" s="41"/>
      <c r="F114" s="41"/>
      <c r="G114" s="41"/>
      <c r="H114" s="41"/>
      <c r="I114" s="42"/>
      <c r="J114" s="43"/>
      <c r="K114" s="222"/>
      <c r="M114" s="160"/>
    </row>
    <row r="115" spans="1:13" customFormat="1" ht="21" customHeight="1">
      <c r="A115" s="72"/>
      <c r="B115" s="78"/>
      <c r="C115" s="72"/>
      <c r="D115" s="78"/>
      <c r="E115" s="78"/>
      <c r="F115" s="79" t="s">
        <v>6</v>
      </c>
      <c r="G115" s="80"/>
      <c r="H115" s="141"/>
      <c r="I115" s="81"/>
      <c r="J115" s="77">
        <f>SUM(J109:J114)</f>
        <v>0</v>
      </c>
      <c r="K115" s="223"/>
    </row>
    <row r="116" spans="1:13" customFormat="1" ht="21" customHeight="1">
      <c r="A116" s="7"/>
      <c r="B116" s="225"/>
      <c r="C116" s="226"/>
      <c r="D116" s="10"/>
      <c r="E116" s="10"/>
      <c r="F116" s="10"/>
      <c r="G116" s="10"/>
      <c r="H116" s="10"/>
      <c r="I116" s="9"/>
      <c r="J116" s="243"/>
      <c r="K116" s="228"/>
    </row>
    <row r="117" spans="1:13" customFormat="1" ht="21" customHeight="1">
      <c r="A117" s="7"/>
      <c r="B117" s="225"/>
      <c r="C117" s="226"/>
      <c r="D117" s="10"/>
      <c r="E117" s="10"/>
      <c r="F117" s="10"/>
      <c r="G117" s="10"/>
      <c r="H117" s="161"/>
      <c r="I117" s="162"/>
      <c r="J117" s="229"/>
      <c r="K117" s="228"/>
    </row>
    <row r="118" spans="1:13" customFormat="1" ht="21" customHeight="1">
      <c r="A118" s="7"/>
      <c r="B118" s="225"/>
      <c r="C118" s="226"/>
      <c r="D118" s="10"/>
      <c r="E118" s="10"/>
      <c r="F118" s="10"/>
      <c r="G118" s="10"/>
      <c r="H118" s="161"/>
      <c r="I118" s="162"/>
      <c r="J118" s="229"/>
      <c r="K118" s="228"/>
    </row>
    <row r="119" spans="1:13" customFormat="1" ht="21" customHeight="1">
      <c r="A119" s="7"/>
      <c r="B119" s="225"/>
      <c r="C119" s="226"/>
      <c r="D119" s="10"/>
      <c r="E119" s="10"/>
      <c r="F119" s="10"/>
      <c r="G119" s="10"/>
      <c r="H119" s="10"/>
      <c r="I119" s="9"/>
      <c r="J119" s="227"/>
      <c r="K119" s="228"/>
    </row>
    <row r="120" spans="1:13" customFormat="1" ht="21" customHeight="1">
      <c r="A120" s="224"/>
      <c r="B120" s="230"/>
      <c r="C120" s="231"/>
      <c r="D120" s="231"/>
      <c r="E120" s="231"/>
      <c r="F120" s="79" t="s">
        <v>6</v>
      </c>
      <c r="G120" s="83"/>
      <c r="H120" s="84"/>
      <c r="I120" s="85"/>
      <c r="J120" s="77">
        <f>SUM(J116:J119)</f>
        <v>0</v>
      </c>
      <c r="K120" s="232"/>
    </row>
    <row r="121" spans="1:13" customFormat="1" ht="21" customHeight="1">
      <c r="A121" s="146"/>
      <c r="B121" s="233"/>
      <c r="C121" s="147"/>
      <c r="D121" s="147"/>
      <c r="E121" s="147"/>
      <c r="F121" s="146"/>
      <c r="G121" s="35"/>
      <c r="H121" s="147"/>
      <c r="I121" s="140"/>
      <c r="J121" s="152"/>
      <c r="K121" s="199"/>
    </row>
    <row r="122" spans="1:13" customFormat="1" ht="21" customHeight="1">
      <c r="A122" s="146"/>
      <c r="B122" s="233"/>
      <c r="C122" s="147"/>
      <c r="D122" s="147"/>
      <c r="E122" s="147"/>
      <c r="F122" s="146"/>
      <c r="G122" s="35"/>
      <c r="H122" s="147"/>
      <c r="I122" s="140"/>
      <c r="J122" s="152"/>
      <c r="K122" s="199"/>
    </row>
    <row r="123" spans="1:13" customFormat="1" ht="21" customHeight="1">
      <c r="A123" s="146"/>
      <c r="B123" s="233"/>
      <c r="C123" s="147"/>
      <c r="D123" s="147"/>
      <c r="E123" s="147"/>
      <c r="F123" s="146"/>
      <c r="G123" s="35"/>
      <c r="H123" s="176"/>
      <c r="I123" s="234"/>
      <c r="J123" s="167"/>
      <c r="K123" s="235"/>
    </row>
    <row r="124" spans="1:13" customFormat="1" ht="21" customHeight="1">
      <c r="A124" s="39"/>
      <c r="B124" s="40"/>
      <c r="C124" s="41"/>
      <c r="D124" s="41"/>
      <c r="E124" s="41"/>
      <c r="F124" s="39"/>
      <c r="G124" s="45"/>
      <c r="H124" s="165"/>
      <c r="I124" s="166"/>
      <c r="J124" s="167"/>
      <c r="K124" s="235"/>
    </row>
    <row r="125" spans="1:13" customFormat="1" ht="21" customHeight="1">
      <c r="A125" s="72"/>
      <c r="B125" s="73"/>
      <c r="C125" s="74"/>
      <c r="D125" s="74"/>
      <c r="E125" s="74"/>
      <c r="F125" s="79" t="s">
        <v>6</v>
      </c>
      <c r="G125" s="83"/>
      <c r="H125" s="84"/>
      <c r="I125" s="85"/>
      <c r="J125" s="86">
        <f>SUM(J121:J124)</f>
        <v>0</v>
      </c>
      <c r="K125" s="236"/>
    </row>
    <row r="126" spans="1:13" customFormat="1" ht="21" customHeight="1">
      <c r="A126" s="7"/>
      <c r="B126" s="237"/>
      <c r="C126" s="158"/>
      <c r="D126" s="10"/>
      <c r="E126" s="10"/>
      <c r="F126" s="157"/>
      <c r="G126" s="10"/>
      <c r="H126" s="10"/>
      <c r="I126" s="9"/>
      <c r="J126" s="227"/>
      <c r="K126" s="238"/>
    </row>
    <row r="127" spans="1:13" customFormat="1" ht="21" customHeight="1">
      <c r="A127" s="7"/>
      <c r="B127" s="237"/>
      <c r="C127" s="158"/>
      <c r="D127" s="10"/>
      <c r="E127" s="10"/>
      <c r="F127" s="157"/>
      <c r="G127" s="10"/>
      <c r="H127" s="161"/>
      <c r="I127" s="162"/>
      <c r="J127" s="229"/>
      <c r="K127" s="238"/>
    </row>
    <row r="128" spans="1:13" customFormat="1" ht="21" customHeight="1">
      <c r="A128" s="7"/>
      <c r="B128" s="237"/>
      <c r="C128" s="158"/>
      <c r="D128" s="10"/>
      <c r="E128" s="10"/>
      <c r="F128" s="157"/>
      <c r="G128" s="10"/>
      <c r="H128" s="10"/>
      <c r="I128" s="9"/>
      <c r="J128" s="227"/>
      <c r="K128" s="238"/>
    </row>
    <row r="129" spans="1:11" customFormat="1" ht="21" customHeight="1">
      <c r="A129" s="72"/>
      <c r="B129" s="73"/>
      <c r="C129" s="74"/>
      <c r="D129" s="74"/>
      <c r="E129" s="74"/>
      <c r="F129" s="75" t="s">
        <v>6</v>
      </c>
      <c r="G129" s="87"/>
      <c r="H129" s="74"/>
      <c r="I129" s="88"/>
      <c r="J129" s="77">
        <f>SUM(J126:J128)</f>
        <v>0</v>
      </c>
      <c r="K129" s="109"/>
    </row>
    <row r="130" spans="1:11" customFormat="1" ht="21" customHeight="1">
      <c r="A130" s="68"/>
      <c r="B130" s="148"/>
      <c r="C130" s="149"/>
      <c r="D130" s="149"/>
      <c r="E130" s="149"/>
      <c r="F130" s="150" t="s">
        <v>44</v>
      </c>
      <c r="G130" s="69"/>
      <c r="H130" s="142"/>
      <c r="I130" s="70"/>
      <c r="J130" s="71">
        <f>J96+J105+J108+J115+J120+J125+J129</f>
        <v>0</v>
      </c>
      <c r="K130" s="115"/>
    </row>
    <row r="131" spans="1:11" s="1" customFormat="1" ht="21" customHeight="1">
      <c r="A131" s="39"/>
      <c r="B131" s="60"/>
      <c r="C131" s="39"/>
      <c r="D131" s="39"/>
      <c r="E131" s="39"/>
      <c r="F131" s="39"/>
      <c r="G131" s="39"/>
      <c r="H131" s="39"/>
      <c r="I131" s="61"/>
      <c r="J131" s="43"/>
      <c r="K131" s="116"/>
    </row>
    <row r="132" spans="1:11" s="1" customFormat="1" ht="21" customHeight="1">
      <c r="A132" s="72"/>
      <c r="B132" s="89"/>
      <c r="C132" s="89"/>
      <c r="D132" s="89"/>
      <c r="E132" s="89"/>
      <c r="F132" s="75" t="s">
        <v>6</v>
      </c>
      <c r="G132" s="75"/>
      <c r="H132" s="75"/>
      <c r="I132" s="76"/>
      <c r="J132" s="77">
        <f>SUM(J131)</f>
        <v>0</v>
      </c>
      <c r="K132" s="117"/>
    </row>
    <row r="133" spans="1:11" customFormat="1" ht="21.75" customHeight="1" thickBot="1">
      <c r="A133" s="68"/>
      <c r="B133" s="704" t="s">
        <v>198</v>
      </c>
      <c r="C133" s="705"/>
      <c r="D133" s="705"/>
      <c r="E133" s="705"/>
      <c r="F133" s="706"/>
      <c r="G133" s="91"/>
      <c r="H133" s="143"/>
      <c r="I133" s="92"/>
      <c r="J133" s="93">
        <f>J94+J130+J132</f>
        <v>399495.74</v>
      </c>
      <c r="K133" s="102"/>
    </row>
    <row r="134" spans="1:11" s="1" customFormat="1" ht="21.75" customHeight="1">
      <c r="A134" s="180"/>
      <c r="B134" s="181"/>
      <c r="C134" s="181"/>
      <c r="D134" s="181"/>
      <c r="E134" s="181"/>
      <c r="F134" s="181"/>
      <c r="G134" s="182"/>
      <c r="H134" s="181"/>
      <c r="I134" s="182"/>
      <c r="J134" s="183"/>
      <c r="K134" s="184"/>
    </row>
    <row r="135" spans="1:11" s="1" customFormat="1" ht="21.75" customHeight="1">
      <c r="A135" s="180"/>
      <c r="B135" s="181"/>
      <c r="C135" s="181"/>
      <c r="D135" s="181"/>
      <c r="E135" s="181"/>
      <c r="F135" s="181"/>
      <c r="G135" s="182"/>
      <c r="H135" s="181"/>
      <c r="I135" s="182"/>
      <c r="J135" s="183"/>
      <c r="K135" s="184"/>
    </row>
    <row r="136" spans="1:11" customFormat="1" ht="18.75">
      <c r="A136" s="62"/>
      <c r="B136" s="707" t="s">
        <v>45</v>
      </c>
      <c r="C136" s="707"/>
      <c r="D136" s="707"/>
      <c r="E136" s="63"/>
      <c r="F136" s="179"/>
      <c r="G136" s="63"/>
      <c r="H136" s="64"/>
      <c r="I136" s="63"/>
      <c r="J136" s="65"/>
      <c r="K136" s="118"/>
    </row>
    <row r="137" spans="1:11" customFormat="1" ht="18.75">
      <c r="A137" s="62"/>
      <c r="B137" s="707" t="s">
        <v>46</v>
      </c>
      <c r="C137" s="707"/>
      <c r="D137" s="707"/>
      <c r="E137" s="707"/>
      <c r="F137" s="66"/>
      <c r="G137" s="63"/>
      <c r="H137" s="64"/>
      <c r="I137" s="63"/>
      <c r="J137" s="65"/>
      <c r="K137" s="118"/>
    </row>
    <row r="138" spans="1:11" ht="18.75">
      <c r="A138" s="25"/>
      <c r="B138" s="26"/>
      <c r="C138" s="26"/>
      <c r="D138" s="26"/>
      <c r="E138" s="26"/>
      <c r="F138" s="26"/>
      <c r="G138" s="26"/>
      <c r="H138" s="26"/>
      <c r="I138" s="27"/>
      <c r="J138" s="26"/>
      <c r="K138" s="119"/>
    </row>
    <row r="139" spans="1:11" ht="18.75">
      <c r="A139" s="25"/>
      <c r="B139" s="26"/>
      <c r="C139" s="26"/>
      <c r="D139" s="26"/>
      <c r="E139" s="26"/>
      <c r="F139" s="26"/>
      <c r="G139" s="26"/>
      <c r="H139" s="26"/>
      <c r="I139" s="27"/>
      <c r="J139" s="26"/>
      <c r="K139" s="119"/>
    </row>
    <row r="140" spans="1:11" ht="18.75">
      <c r="A140" s="25"/>
      <c r="B140" s="26"/>
      <c r="C140" s="26"/>
      <c r="D140" s="26"/>
      <c r="E140" s="26"/>
      <c r="F140" s="26"/>
      <c r="G140" s="26"/>
      <c r="H140" s="26"/>
      <c r="I140" s="27"/>
      <c r="J140" s="26"/>
      <c r="K140" s="119"/>
    </row>
    <row r="141" spans="1:11" ht="18.75">
      <c r="A141" s="25"/>
      <c r="B141" s="25"/>
      <c r="C141" s="25"/>
      <c r="D141" s="25"/>
      <c r="E141" s="25"/>
      <c r="F141" s="26"/>
      <c r="G141" s="25"/>
      <c r="H141" s="26"/>
      <c r="I141" s="30"/>
      <c r="J141" s="25"/>
      <c r="K141" s="120"/>
    </row>
    <row r="142" spans="1:11" ht="18.75">
      <c r="A142" s="25"/>
      <c r="B142" s="25"/>
      <c r="C142" s="25"/>
      <c r="D142" s="25"/>
      <c r="E142" s="25"/>
      <c r="F142" s="26"/>
      <c r="G142" s="25"/>
      <c r="H142" s="26"/>
      <c r="I142" s="30"/>
      <c r="J142" s="25"/>
      <c r="K142" s="120"/>
    </row>
    <row r="143" spans="1:11" ht="18.75">
      <c r="A143" s="25"/>
      <c r="B143" s="25"/>
      <c r="C143" s="25"/>
      <c r="D143" s="25"/>
      <c r="E143" s="25"/>
      <c r="F143" s="26"/>
      <c r="G143" s="25"/>
      <c r="H143" s="26"/>
      <c r="I143" s="30"/>
      <c r="J143" s="25"/>
      <c r="K143" s="120"/>
    </row>
    <row r="144" spans="1:11" ht="18.75">
      <c r="A144" s="24"/>
      <c r="B144" s="24"/>
      <c r="C144" s="24"/>
      <c r="D144" s="24"/>
      <c r="E144" s="24"/>
      <c r="F144" s="144"/>
      <c r="G144" s="24"/>
      <c r="H144" s="144"/>
      <c r="I144" s="33"/>
      <c r="J144" s="24"/>
    </row>
    <row r="145" spans="1:10" ht="18.75">
      <c r="A145" s="24"/>
      <c r="B145" s="24"/>
      <c r="C145" s="24"/>
      <c r="D145" s="24"/>
      <c r="E145" s="24"/>
      <c r="F145" s="144"/>
      <c r="G145" s="24"/>
      <c r="H145" s="144"/>
      <c r="I145" s="33"/>
      <c r="J145" s="24"/>
    </row>
    <row r="146" spans="1:10" ht="18.75">
      <c r="A146" s="24"/>
      <c r="B146" s="24"/>
      <c r="C146" s="24"/>
      <c r="D146" s="24"/>
      <c r="E146" s="24"/>
      <c r="F146" s="144"/>
      <c r="G146" s="24"/>
      <c r="H146" s="144"/>
      <c r="I146" s="33"/>
      <c r="J146" s="24"/>
    </row>
    <row r="147" spans="1:10" ht="18.75">
      <c r="A147" s="24"/>
      <c r="B147" s="24"/>
      <c r="C147" s="24"/>
      <c r="D147" s="24"/>
      <c r="E147" s="24"/>
      <c r="F147" s="144"/>
      <c r="G147" s="24"/>
      <c r="H147" s="144"/>
      <c r="I147" s="33"/>
      <c r="J147" s="24"/>
    </row>
    <row r="148" spans="1:10" ht="18.75">
      <c r="A148" s="24"/>
      <c r="B148" s="24"/>
      <c r="C148" s="24"/>
      <c r="D148" s="24"/>
      <c r="E148" s="24"/>
      <c r="F148" s="144"/>
      <c r="G148" s="24"/>
      <c r="H148" s="144"/>
      <c r="I148" s="33"/>
      <c r="J148" s="24"/>
    </row>
    <row r="149" spans="1:10" ht="18.75">
      <c r="A149" s="24"/>
      <c r="B149" s="24"/>
      <c r="C149" s="24"/>
      <c r="D149" s="24"/>
      <c r="E149" s="24"/>
      <c r="F149" s="144"/>
      <c r="G149" s="24"/>
      <c r="H149" s="144"/>
      <c r="I149" s="33"/>
      <c r="J149" s="24"/>
    </row>
    <row r="150" spans="1:10" ht="18.75">
      <c r="A150" s="24"/>
      <c r="B150" s="24"/>
      <c r="C150" s="24"/>
      <c r="D150" s="24"/>
      <c r="E150" s="24"/>
      <c r="F150" s="144"/>
      <c r="G150" s="24"/>
      <c r="H150" s="144"/>
      <c r="I150" s="33"/>
      <c r="J150" s="24"/>
    </row>
    <row r="151" spans="1:10" ht="18.75">
      <c r="A151" s="24"/>
      <c r="B151" s="24"/>
      <c r="C151" s="24"/>
      <c r="D151" s="24"/>
      <c r="E151" s="24"/>
      <c r="F151" s="144"/>
      <c r="G151" s="24"/>
      <c r="H151" s="144"/>
      <c r="I151" s="33"/>
      <c r="J151" s="24"/>
    </row>
    <row r="152" spans="1:10" ht="18.75">
      <c r="A152" s="24"/>
      <c r="B152" s="24"/>
      <c r="C152" s="24"/>
      <c r="D152" s="24"/>
      <c r="E152" s="24"/>
      <c r="F152" s="144"/>
      <c r="G152" s="24"/>
      <c r="H152" s="144"/>
      <c r="I152" s="33"/>
      <c r="J152" s="24"/>
    </row>
    <row r="153" spans="1:10" ht="18.75">
      <c r="A153" s="24"/>
      <c r="B153" s="24"/>
      <c r="C153" s="24"/>
      <c r="D153" s="24"/>
      <c r="E153" s="24"/>
      <c r="F153" s="144"/>
      <c r="G153" s="24"/>
      <c r="H153" s="144"/>
      <c r="I153" s="33"/>
      <c r="J153" s="24"/>
    </row>
    <row r="154" spans="1:10" ht="18.75">
      <c r="A154" s="24"/>
      <c r="B154" s="24"/>
      <c r="C154" s="24"/>
      <c r="D154" s="24"/>
      <c r="E154" s="24"/>
      <c r="F154" s="144"/>
      <c r="G154" s="24"/>
      <c r="H154" s="144"/>
      <c r="I154" s="33"/>
      <c r="J154" s="24"/>
    </row>
    <row r="155" spans="1:10" ht="18.75">
      <c r="A155" s="24"/>
      <c r="B155" s="24"/>
      <c r="C155" s="24"/>
      <c r="D155" s="24"/>
      <c r="E155" s="24"/>
      <c r="F155" s="144"/>
      <c r="G155" s="24"/>
      <c r="H155" s="144"/>
      <c r="I155" s="33"/>
      <c r="J155" s="24"/>
    </row>
    <row r="156" spans="1:10" ht="18.75">
      <c r="A156" s="24"/>
      <c r="B156" s="24"/>
      <c r="C156" s="24"/>
      <c r="D156" s="24"/>
      <c r="E156" s="24"/>
      <c r="F156" s="144"/>
      <c r="G156" s="24"/>
      <c r="H156" s="144"/>
      <c r="I156" s="33"/>
      <c r="J156" s="24"/>
    </row>
    <row r="157" spans="1:10" ht="18.75">
      <c r="A157" s="24"/>
      <c r="B157" s="24"/>
      <c r="C157" s="24"/>
      <c r="D157" s="24"/>
      <c r="E157" s="24"/>
      <c r="F157" s="144"/>
      <c r="G157" s="24"/>
      <c r="H157" s="144"/>
      <c r="I157" s="33"/>
      <c r="J157" s="24"/>
    </row>
    <row r="158" spans="1:10" ht="18.75">
      <c r="A158" s="24"/>
      <c r="B158" s="24"/>
      <c r="C158" s="24"/>
      <c r="D158" s="24"/>
      <c r="E158" s="24"/>
      <c r="F158" s="144"/>
      <c r="G158" s="24"/>
      <c r="H158" s="144"/>
      <c r="I158" s="33"/>
      <c r="J158" s="24"/>
    </row>
    <row r="159" spans="1:10" ht="18.75">
      <c r="A159" s="24"/>
      <c r="B159" s="24"/>
      <c r="C159" s="24"/>
      <c r="D159" s="24"/>
      <c r="E159" s="24"/>
      <c r="F159" s="144"/>
      <c r="G159" s="24"/>
      <c r="H159" s="144"/>
      <c r="I159" s="33"/>
      <c r="J159" s="24"/>
    </row>
    <row r="160" spans="1:10" ht="18.75">
      <c r="A160" s="24"/>
      <c r="B160" s="24"/>
      <c r="C160" s="24"/>
      <c r="D160" s="24"/>
      <c r="E160" s="24"/>
      <c r="F160" s="144"/>
      <c r="G160" s="24"/>
      <c r="H160" s="144"/>
      <c r="I160" s="33"/>
      <c r="J160" s="24"/>
    </row>
  </sheetData>
  <mergeCells count="7">
    <mergeCell ref="B136:D136"/>
    <mergeCell ref="B137:E137"/>
    <mergeCell ref="A1:J1"/>
    <mergeCell ref="A94:I94"/>
    <mergeCell ref="C109:C114"/>
    <mergeCell ref="B133:F133"/>
    <mergeCell ref="C3:C7"/>
  </mergeCells>
  <phoneticPr fontId="21" type="noConversion"/>
  <pageMargins left="0.75" right="0.75" top="1" bottom="1" header="0.5" footer="0.5"/>
  <pageSetup paperSize="9" scale="34" orientation="portrait" verticalDpi="0" r:id="rId1"/>
  <headerFooter alignWithMargins="0"/>
  <rowBreaks count="1" manualBreakCount="1">
    <brk id="9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 enableFormatConditionsCalculation="0">
    <tabColor indexed="33"/>
  </sheetPr>
  <dimension ref="A1:O144"/>
  <sheetViews>
    <sheetView view="pageBreakPreview" topLeftCell="A35" zoomScale="75" zoomScaleNormal="75" zoomScaleSheetLayoutView="75" workbookViewId="0">
      <selection activeCell="F94" sqref="F94"/>
    </sheetView>
  </sheetViews>
  <sheetFormatPr defaultRowHeight="15.75"/>
  <cols>
    <col min="1" max="1" width="6.7109375" style="5" customWidth="1"/>
    <col min="2" max="2" width="14.42578125" style="5" customWidth="1"/>
    <col min="3" max="3" width="19.140625" style="5" customWidth="1"/>
    <col min="4" max="4" width="8.140625" style="5" customWidth="1"/>
    <col min="5" max="5" width="10.5703125" style="5" customWidth="1"/>
    <col min="6" max="6" width="60.85546875" style="145" customWidth="1"/>
    <col min="7" max="7" width="13.140625" style="5" customWidth="1"/>
    <col min="8" max="8" width="12.7109375" style="145" customWidth="1"/>
    <col min="9" max="9" width="14.140625" style="29" customWidth="1"/>
    <col min="10" max="10" width="21.140625" style="5" customWidth="1"/>
    <col min="11" max="11" width="11.42578125" style="121" customWidth="1"/>
    <col min="12" max="12" width="10.7109375" style="5" bestFit="1" customWidth="1"/>
    <col min="13" max="14" width="9.140625" style="5"/>
    <col min="15" max="15" width="11" style="5" customWidth="1"/>
    <col min="16" max="16384" width="9.140625" style="5"/>
  </cols>
  <sheetData>
    <row r="1" spans="1:13" ht="29.25" customHeight="1" thickBot="1">
      <c r="A1" s="692" t="s">
        <v>373</v>
      </c>
      <c r="B1" s="692"/>
      <c r="C1" s="692"/>
      <c r="D1" s="692"/>
      <c r="E1" s="692"/>
      <c r="F1" s="692"/>
      <c r="G1" s="692"/>
      <c r="H1" s="692"/>
      <c r="I1" s="692"/>
      <c r="J1" s="692"/>
      <c r="K1" s="103"/>
    </row>
    <row r="2" spans="1:13" ht="40.5" customHeight="1" thickBot="1">
      <c r="A2" s="185" t="s">
        <v>0</v>
      </c>
      <c r="B2" s="2" t="s">
        <v>1</v>
      </c>
      <c r="C2" s="2" t="s">
        <v>96</v>
      </c>
      <c r="D2" s="2" t="s">
        <v>2</v>
      </c>
      <c r="E2" s="2" t="s">
        <v>95</v>
      </c>
      <c r="F2" s="2" t="s">
        <v>3</v>
      </c>
      <c r="G2" s="3" t="s">
        <v>97</v>
      </c>
      <c r="H2" s="2" t="s">
        <v>4</v>
      </c>
      <c r="I2" s="4" t="s">
        <v>98</v>
      </c>
      <c r="J2" s="2" t="s">
        <v>99</v>
      </c>
      <c r="K2" s="94"/>
    </row>
    <row r="3" spans="1:13" ht="21" customHeight="1">
      <c r="A3" s="7">
        <v>1</v>
      </c>
      <c r="B3" s="7" t="s">
        <v>374</v>
      </c>
      <c r="C3" s="7" t="s">
        <v>5</v>
      </c>
      <c r="D3" s="7">
        <v>2210</v>
      </c>
      <c r="E3" s="7" t="s">
        <v>19</v>
      </c>
      <c r="F3" s="7" t="s">
        <v>180</v>
      </c>
      <c r="G3" s="7" t="s">
        <v>11</v>
      </c>
      <c r="H3" s="11" t="s">
        <v>135</v>
      </c>
      <c r="I3" s="9"/>
      <c r="J3" s="9">
        <v>108</v>
      </c>
      <c r="K3" s="98"/>
    </row>
    <row r="4" spans="1:13" ht="21" customHeight="1">
      <c r="A4" s="7"/>
      <c r="B4" s="7"/>
      <c r="C4" s="7"/>
      <c r="D4" s="7">
        <v>2210</v>
      </c>
      <c r="E4" s="7">
        <v>1113</v>
      </c>
      <c r="F4" s="7" t="s">
        <v>112</v>
      </c>
      <c r="G4" s="7" t="s">
        <v>11</v>
      </c>
      <c r="H4" s="10">
        <v>1</v>
      </c>
      <c r="I4" s="9">
        <v>600</v>
      </c>
      <c r="J4" s="9">
        <v>600</v>
      </c>
      <c r="K4" s="98"/>
    </row>
    <row r="5" spans="1:13" ht="21" customHeight="1">
      <c r="A5" s="12"/>
      <c r="B5" s="12"/>
      <c r="C5" s="12"/>
      <c r="D5" s="12"/>
      <c r="E5" s="12"/>
      <c r="F5" s="15" t="s">
        <v>6</v>
      </c>
      <c r="G5" s="12"/>
      <c r="H5" s="13"/>
      <c r="I5" s="14"/>
      <c r="J5" s="36">
        <f>SUM(J3:J4)</f>
        <v>708</v>
      </c>
      <c r="K5" s="96"/>
    </row>
    <row r="6" spans="1:13" s="16" customFormat="1" ht="39.75" customHeight="1">
      <c r="A6" s="31">
        <v>2</v>
      </c>
      <c r="B6" s="31" t="s">
        <v>375</v>
      </c>
      <c r="C6" s="31" t="s">
        <v>5</v>
      </c>
      <c r="D6" s="31">
        <v>2210</v>
      </c>
      <c r="E6" s="31" t="s">
        <v>15</v>
      </c>
      <c r="F6" s="494" t="s">
        <v>376</v>
      </c>
      <c r="G6" s="31" t="s">
        <v>13</v>
      </c>
      <c r="H6" s="35">
        <v>34</v>
      </c>
      <c r="I6" s="156"/>
      <c r="J6" s="32">
        <v>578.28</v>
      </c>
      <c r="K6" s="100"/>
      <c r="M6" s="37"/>
    </row>
    <row r="7" spans="1:13" s="16" customFormat="1" ht="27" customHeight="1">
      <c r="A7" s="31"/>
      <c r="B7" s="31"/>
      <c r="C7" s="31"/>
      <c r="D7" s="31">
        <v>2210</v>
      </c>
      <c r="E7" s="31">
        <v>1113</v>
      </c>
      <c r="F7" s="31" t="s">
        <v>378</v>
      </c>
      <c r="G7" s="31">
        <v>3</v>
      </c>
      <c r="H7" s="35"/>
      <c r="I7" s="32"/>
      <c r="J7" s="32">
        <f>2400+3600+4800</f>
        <v>10800</v>
      </c>
      <c r="K7" s="100"/>
      <c r="M7" s="37"/>
    </row>
    <row r="8" spans="1:13" s="16" customFormat="1" ht="21" customHeight="1">
      <c r="A8" s="31"/>
      <c r="B8" s="31"/>
      <c r="C8" s="31"/>
      <c r="D8" s="31">
        <v>2210</v>
      </c>
      <c r="E8" s="31">
        <v>1113</v>
      </c>
      <c r="F8" s="31" t="s">
        <v>377</v>
      </c>
      <c r="G8" s="31" t="s">
        <v>11</v>
      </c>
      <c r="H8" s="161">
        <v>1</v>
      </c>
      <c r="I8" s="162"/>
      <c r="J8" s="162">
        <v>4466</v>
      </c>
      <c r="K8" s="100"/>
      <c r="M8" s="37"/>
    </row>
    <row r="9" spans="1:13" s="16" customFormat="1" ht="21" customHeight="1">
      <c r="A9" s="31"/>
      <c r="B9" s="31"/>
      <c r="C9" s="31"/>
      <c r="D9" s="31">
        <v>2210</v>
      </c>
      <c r="E9" s="31">
        <v>1113</v>
      </c>
      <c r="F9" s="31" t="s">
        <v>193</v>
      </c>
      <c r="G9" s="31" t="s">
        <v>11</v>
      </c>
      <c r="H9" s="161">
        <v>1</v>
      </c>
      <c r="I9" s="162"/>
      <c r="J9" s="162">
        <v>2400</v>
      </c>
      <c r="K9" s="100"/>
      <c r="M9" s="37"/>
    </row>
    <row r="10" spans="1:13" s="16" customFormat="1" ht="21" customHeight="1">
      <c r="A10" s="12"/>
      <c r="B10" s="12"/>
      <c r="C10" s="12"/>
      <c r="D10" s="12"/>
      <c r="E10" s="12"/>
      <c r="F10" s="15" t="s">
        <v>6</v>
      </c>
      <c r="G10" s="12"/>
      <c r="H10" s="13"/>
      <c r="I10" s="14"/>
      <c r="J10" s="36">
        <f>SUM(J6:J9)</f>
        <v>18244.28</v>
      </c>
      <c r="K10" s="104"/>
      <c r="M10" s="37"/>
    </row>
    <row r="11" spans="1:13" ht="21" customHeight="1">
      <c r="A11" s="7">
        <v>3</v>
      </c>
      <c r="B11" s="7" t="s">
        <v>232</v>
      </c>
      <c r="C11" s="7" t="s">
        <v>5</v>
      </c>
      <c r="D11" s="7">
        <v>2210</v>
      </c>
      <c r="E11" s="7">
        <v>1113</v>
      </c>
      <c r="F11" s="7" t="s">
        <v>379</v>
      </c>
      <c r="G11" s="7" t="s">
        <v>11</v>
      </c>
      <c r="H11" s="19">
        <v>1</v>
      </c>
      <c r="I11" s="9"/>
      <c r="J11" s="9">
        <v>2900</v>
      </c>
      <c r="K11" s="97"/>
    </row>
    <row r="12" spans="1:13" ht="21" customHeight="1">
      <c r="A12" s="7"/>
      <c r="B12" s="7"/>
      <c r="C12" s="7"/>
      <c r="D12" s="7">
        <v>2210</v>
      </c>
      <c r="E12" s="7">
        <v>1113</v>
      </c>
      <c r="F12" s="7" t="s">
        <v>380</v>
      </c>
      <c r="G12" s="7" t="s">
        <v>11</v>
      </c>
      <c r="H12" s="19">
        <v>6</v>
      </c>
      <c r="I12" s="9"/>
      <c r="J12" s="9">
        <v>1230</v>
      </c>
      <c r="K12" s="97"/>
    </row>
    <row r="13" spans="1:13" ht="21" customHeight="1">
      <c r="A13" s="7"/>
      <c r="B13" s="7"/>
      <c r="C13" s="7"/>
      <c r="D13" s="7">
        <v>2210</v>
      </c>
      <c r="E13" s="7">
        <v>1113</v>
      </c>
      <c r="F13" s="21" t="s">
        <v>227</v>
      </c>
      <c r="G13" s="7" t="s">
        <v>11</v>
      </c>
      <c r="H13" s="19">
        <f>24+69</f>
        <v>93</v>
      </c>
      <c r="I13" s="9"/>
      <c r="J13" s="9">
        <f>1311+384</f>
        <v>1695</v>
      </c>
      <c r="K13" s="95"/>
    </row>
    <row r="14" spans="1:13" ht="21" customHeight="1">
      <c r="A14" s="7"/>
      <c r="B14" s="7"/>
      <c r="C14" s="7"/>
      <c r="D14" s="7">
        <v>2210</v>
      </c>
      <c r="E14" s="7">
        <v>1114</v>
      </c>
      <c r="F14" s="7" t="s">
        <v>381</v>
      </c>
      <c r="G14" s="7" t="s">
        <v>11</v>
      </c>
      <c r="H14" s="19">
        <f>40+3</f>
        <v>43</v>
      </c>
      <c r="I14" s="9"/>
      <c r="J14" s="9">
        <f>6000+585</f>
        <v>6585</v>
      </c>
      <c r="K14" s="95"/>
    </row>
    <row r="15" spans="1:13" s="16" customFormat="1" ht="21" customHeight="1">
      <c r="A15" s="12"/>
      <c r="B15" s="12"/>
      <c r="C15" s="12"/>
      <c r="D15" s="12"/>
      <c r="E15" s="12"/>
      <c r="F15" s="15" t="s">
        <v>6</v>
      </c>
      <c r="G15" s="12"/>
      <c r="H15" s="17"/>
      <c r="I15" s="14"/>
      <c r="J15" s="36">
        <f>SUM(J11:J14)</f>
        <v>12410</v>
      </c>
      <c r="K15" s="96"/>
    </row>
    <row r="16" spans="1:13" s="28" customFormat="1" ht="21" customHeight="1">
      <c r="A16" s="31">
        <v>4</v>
      </c>
      <c r="B16" s="31" t="s">
        <v>28</v>
      </c>
      <c r="C16" s="31" t="s">
        <v>16</v>
      </c>
      <c r="D16" s="7">
        <v>2210</v>
      </c>
      <c r="E16" s="31" t="s">
        <v>15</v>
      </c>
      <c r="F16" s="31" t="s">
        <v>382</v>
      </c>
      <c r="G16" s="31" t="s">
        <v>11</v>
      </c>
      <c r="H16" s="34">
        <v>4</v>
      </c>
      <c r="I16" s="32"/>
      <c r="J16" s="32">
        <v>84</v>
      </c>
      <c r="K16" s="100"/>
    </row>
    <row r="17" spans="1:11" s="28" customFormat="1" ht="21" customHeight="1">
      <c r="A17" s="31"/>
      <c r="B17" s="31"/>
      <c r="C17" s="31"/>
      <c r="D17" s="7">
        <v>2210</v>
      </c>
      <c r="E17" s="31">
        <v>1113</v>
      </c>
      <c r="F17" s="31" t="s">
        <v>383</v>
      </c>
      <c r="G17" s="31" t="s">
        <v>11</v>
      </c>
      <c r="H17" s="34">
        <f>1+1</f>
        <v>2</v>
      </c>
      <c r="I17" s="32"/>
      <c r="J17" s="32">
        <f>420+198</f>
        <v>618</v>
      </c>
      <c r="K17" s="100"/>
    </row>
    <row r="18" spans="1:11" s="28" customFormat="1" ht="21" customHeight="1">
      <c r="A18" s="31"/>
      <c r="B18" s="31"/>
      <c r="C18" s="31"/>
      <c r="D18" s="7">
        <v>2210</v>
      </c>
      <c r="E18" s="31">
        <v>1113</v>
      </c>
      <c r="F18" s="31" t="s">
        <v>384</v>
      </c>
      <c r="G18" s="31" t="s">
        <v>11</v>
      </c>
      <c r="H18" s="34">
        <f>2+1+1+13+1+1</f>
        <v>19</v>
      </c>
      <c r="I18" s="32"/>
      <c r="J18" s="32">
        <f>500+1400+280+1040+2200+450</f>
        <v>5870</v>
      </c>
      <c r="K18" s="100"/>
    </row>
    <row r="19" spans="1:11" s="28" customFormat="1" ht="21" customHeight="1">
      <c r="A19" s="31"/>
      <c r="B19" s="31"/>
      <c r="C19" s="31"/>
      <c r="D19" s="7">
        <v>2210</v>
      </c>
      <c r="E19" s="31">
        <v>1113</v>
      </c>
      <c r="F19" s="31" t="s">
        <v>202</v>
      </c>
      <c r="G19" s="31" t="s">
        <v>11</v>
      </c>
      <c r="H19" s="34">
        <v>3</v>
      </c>
      <c r="I19" s="32"/>
      <c r="J19" s="32">
        <v>180</v>
      </c>
      <c r="K19" s="100"/>
    </row>
    <row r="20" spans="1:11" s="28" customFormat="1" ht="21" customHeight="1">
      <c r="A20" s="31"/>
      <c r="B20" s="31"/>
      <c r="C20" s="31"/>
      <c r="D20" s="7">
        <v>2210</v>
      </c>
      <c r="E20" s="31">
        <v>1113</v>
      </c>
      <c r="F20" s="31" t="s">
        <v>385</v>
      </c>
      <c r="G20" s="31" t="s">
        <v>11</v>
      </c>
      <c r="H20" s="34">
        <v>1</v>
      </c>
      <c r="I20" s="32"/>
      <c r="J20" s="32">
        <v>75</v>
      </c>
      <c r="K20" s="100"/>
    </row>
    <row r="21" spans="1:11" s="16" customFormat="1" ht="21" customHeight="1">
      <c r="A21" s="12"/>
      <c r="B21" s="12"/>
      <c r="C21" s="12"/>
      <c r="D21" s="12"/>
      <c r="E21" s="12"/>
      <c r="F21" s="15" t="s">
        <v>6</v>
      </c>
      <c r="G21" s="12"/>
      <c r="H21" s="17"/>
      <c r="I21" s="14"/>
      <c r="J21" s="36">
        <f>SUM(J16:J20)</f>
        <v>6827</v>
      </c>
      <c r="K21" s="104"/>
    </row>
    <row r="22" spans="1:11" ht="21" customHeight="1">
      <c r="A22" s="7">
        <v>5</v>
      </c>
      <c r="B22" s="7" t="s">
        <v>386</v>
      </c>
      <c r="C22" s="7" t="s">
        <v>5</v>
      </c>
      <c r="D22" s="7">
        <v>2210</v>
      </c>
      <c r="E22" s="7" t="s">
        <v>19</v>
      </c>
      <c r="F22" s="7" t="s">
        <v>387</v>
      </c>
      <c r="G22" s="7" t="s">
        <v>11</v>
      </c>
      <c r="H22" s="11" t="s">
        <v>56</v>
      </c>
      <c r="I22" s="9"/>
      <c r="J22" s="9">
        <f>94.2+75.6</f>
        <v>169.8</v>
      </c>
      <c r="K22" s="95"/>
    </row>
    <row r="23" spans="1:11" ht="21" customHeight="1">
      <c r="A23" s="7"/>
      <c r="B23" s="7"/>
      <c r="C23" s="7"/>
      <c r="D23" s="7">
        <v>2210</v>
      </c>
      <c r="E23" s="7" t="s">
        <v>15</v>
      </c>
      <c r="F23" s="7" t="s">
        <v>388</v>
      </c>
      <c r="G23" s="7" t="s">
        <v>11</v>
      </c>
      <c r="H23" s="34">
        <f>16+3+8+8</f>
        <v>35</v>
      </c>
      <c r="I23" s="9"/>
      <c r="J23" s="9">
        <f>307.2+84+39.2+82.4</f>
        <v>512.79999999999995</v>
      </c>
      <c r="K23" s="95"/>
    </row>
    <row r="24" spans="1:11" ht="21" customHeight="1">
      <c r="A24" s="7"/>
      <c r="B24" s="7"/>
      <c r="C24" s="7"/>
      <c r="D24" s="7">
        <v>2220</v>
      </c>
      <c r="E24" s="7">
        <v>1512</v>
      </c>
      <c r="F24" s="7" t="s">
        <v>389</v>
      </c>
      <c r="G24" s="7" t="s">
        <v>133</v>
      </c>
      <c r="H24" s="34">
        <v>3</v>
      </c>
      <c r="I24" s="9"/>
      <c r="J24" s="9">
        <f>520+170</f>
        <v>690</v>
      </c>
      <c r="K24" s="95"/>
    </row>
    <row r="25" spans="1:11" s="16" customFormat="1" ht="21" customHeight="1">
      <c r="A25" s="12"/>
      <c r="B25" s="12"/>
      <c r="C25" s="12"/>
      <c r="D25" s="12"/>
      <c r="E25" s="12"/>
      <c r="F25" s="15" t="s">
        <v>6</v>
      </c>
      <c r="G25" s="12"/>
      <c r="H25" s="17"/>
      <c r="I25" s="14"/>
      <c r="J25" s="36">
        <f>SUM(J22:J24)</f>
        <v>1372.6</v>
      </c>
      <c r="K25" s="96"/>
    </row>
    <row r="26" spans="1:11" ht="21" customHeight="1">
      <c r="A26" s="7">
        <v>6</v>
      </c>
      <c r="B26" s="7" t="s">
        <v>390</v>
      </c>
      <c r="C26" s="7" t="s">
        <v>5</v>
      </c>
      <c r="D26" s="7">
        <v>2210</v>
      </c>
      <c r="E26" s="7">
        <v>1113</v>
      </c>
      <c r="F26" s="7" t="s">
        <v>48</v>
      </c>
      <c r="G26" s="7" t="s">
        <v>11</v>
      </c>
      <c r="H26" s="19">
        <f>3+1+1</f>
        <v>5</v>
      </c>
      <c r="I26" s="9"/>
      <c r="J26" s="9">
        <f>471+493+624</f>
        <v>1588</v>
      </c>
      <c r="K26" s="97"/>
    </row>
    <row r="27" spans="1:11" ht="21" customHeight="1">
      <c r="A27" s="7"/>
      <c r="B27" s="7"/>
      <c r="C27" s="7"/>
      <c r="D27" s="7">
        <v>2210</v>
      </c>
      <c r="E27" s="7">
        <v>1113</v>
      </c>
      <c r="F27" s="7" t="s">
        <v>391</v>
      </c>
      <c r="G27" s="7" t="s">
        <v>11</v>
      </c>
      <c r="H27" s="163">
        <v>2</v>
      </c>
      <c r="I27" s="162"/>
      <c r="J27" s="162">
        <v>4000</v>
      </c>
      <c r="K27" s="97"/>
    </row>
    <row r="28" spans="1:11" ht="21" customHeight="1">
      <c r="A28" s="7"/>
      <c r="B28" s="7"/>
      <c r="C28" s="7"/>
      <c r="D28" s="7">
        <v>2210</v>
      </c>
      <c r="E28" s="7">
        <v>1113</v>
      </c>
      <c r="F28" s="7" t="s">
        <v>266</v>
      </c>
      <c r="G28" s="7" t="s">
        <v>11</v>
      </c>
      <c r="H28" s="163">
        <v>1</v>
      </c>
      <c r="I28" s="162"/>
      <c r="J28" s="162">
        <v>2270</v>
      </c>
      <c r="K28" s="97"/>
    </row>
    <row r="29" spans="1:11" ht="21" customHeight="1">
      <c r="A29" s="7"/>
      <c r="B29" s="7"/>
      <c r="C29" s="7"/>
      <c r="D29" s="7">
        <v>2210</v>
      </c>
      <c r="E29" s="7">
        <v>1113</v>
      </c>
      <c r="F29" s="7" t="s">
        <v>392</v>
      </c>
      <c r="G29" s="7" t="s">
        <v>11</v>
      </c>
      <c r="H29" s="163">
        <v>1</v>
      </c>
      <c r="I29" s="162"/>
      <c r="J29" s="162">
        <v>350</v>
      </c>
      <c r="K29" s="97"/>
    </row>
    <row r="30" spans="1:11" ht="21" customHeight="1">
      <c r="A30" s="7"/>
      <c r="B30" s="7"/>
      <c r="C30" s="7"/>
      <c r="D30" s="7">
        <v>2210</v>
      </c>
      <c r="E30" s="7">
        <v>1113</v>
      </c>
      <c r="F30" s="7" t="s">
        <v>393</v>
      </c>
      <c r="G30" s="7" t="s">
        <v>11</v>
      </c>
      <c r="H30" s="163">
        <v>1</v>
      </c>
      <c r="I30" s="162"/>
      <c r="J30" s="162">
        <v>500</v>
      </c>
      <c r="K30" s="97"/>
    </row>
    <row r="31" spans="1:11" ht="21" customHeight="1">
      <c r="A31" s="8"/>
      <c r="B31" s="7"/>
      <c r="C31" s="7"/>
      <c r="D31" s="7">
        <v>2210</v>
      </c>
      <c r="E31" s="7">
        <v>1113</v>
      </c>
      <c r="F31" s="7" t="s">
        <v>384</v>
      </c>
      <c r="G31" s="7" t="s">
        <v>11</v>
      </c>
      <c r="H31" s="19">
        <f>6+3+13+4</f>
        <v>26</v>
      </c>
      <c r="I31" s="9"/>
      <c r="J31" s="9">
        <f>13002+3330+3900+2000</f>
        <v>22232</v>
      </c>
      <c r="K31" s="95"/>
    </row>
    <row r="32" spans="1:11" ht="21" customHeight="1">
      <c r="A32" s="8"/>
      <c r="B32" s="7"/>
      <c r="C32" s="7"/>
      <c r="D32" s="7">
        <v>2210</v>
      </c>
      <c r="E32" s="7">
        <v>1113</v>
      </c>
      <c r="F32" s="7" t="s">
        <v>227</v>
      </c>
      <c r="G32" s="7" t="s">
        <v>11</v>
      </c>
      <c r="H32" s="19">
        <v>25</v>
      </c>
      <c r="I32" s="9"/>
      <c r="J32" s="9">
        <v>625</v>
      </c>
      <c r="K32" s="95"/>
    </row>
    <row r="33" spans="1:15" s="16" customFormat="1" ht="21" customHeight="1">
      <c r="A33" s="18"/>
      <c r="B33" s="12"/>
      <c r="C33" s="12"/>
      <c r="D33" s="12"/>
      <c r="E33" s="12"/>
      <c r="F33" s="15" t="s">
        <v>6</v>
      </c>
      <c r="G33" s="12"/>
      <c r="H33" s="17"/>
      <c r="I33" s="14"/>
      <c r="J33" s="36">
        <f>SUM(J26:J32)</f>
        <v>31565</v>
      </c>
      <c r="K33" s="105"/>
    </row>
    <row r="34" spans="1:15" ht="21" customHeight="1">
      <c r="A34" s="7">
        <v>7</v>
      </c>
      <c r="B34" s="7" t="s">
        <v>9</v>
      </c>
      <c r="C34" s="7" t="s">
        <v>5</v>
      </c>
      <c r="D34" s="7">
        <v>2210</v>
      </c>
      <c r="E34" s="7" t="s">
        <v>19</v>
      </c>
      <c r="F34" s="7" t="s">
        <v>113</v>
      </c>
      <c r="G34" s="7" t="s">
        <v>11</v>
      </c>
      <c r="H34" s="19">
        <v>72</v>
      </c>
      <c r="I34" s="9"/>
      <c r="J34" s="9">
        <v>288</v>
      </c>
      <c r="K34" s="95"/>
    </row>
    <row r="35" spans="1:15" ht="21" customHeight="1">
      <c r="A35" s="7"/>
      <c r="B35" s="7"/>
      <c r="C35" s="7"/>
      <c r="D35" s="7">
        <v>2210</v>
      </c>
      <c r="E35" s="7" t="s">
        <v>15</v>
      </c>
      <c r="F35" s="7" t="s">
        <v>50</v>
      </c>
      <c r="G35" s="7" t="s">
        <v>11</v>
      </c>
      <c r="H35" s="19">
        <f>30+36</f>
        <v>66</v>
      </c>
      <c r="I35" s="9"/>
      <c r="J35" s="9">
        <f>180+540</f>
        <v>720</v>
      </c>
      <c r="K35" s="95"/>
    </row>
    <row r="36" spans="1:15" ht="21" customHeight="1">
      <c r="A36" s="7"/>
      <c r="B36" s="7"/>
      <c r="C36" s="7"/>
      <c r="D36" s="7">
        <v>2220</v>
      </c>
      <c r="E36" s="7">
        <v>1512</v>
      </c>
      <c r="F36" s="7" t="s">
        <v>32</v>
      </c>
      <c r="G36" s="7" t="s">
        <v>13</v>
      </c>
      <c r="H36" s="10">
        <v>2</v>
      </c>
      <c r="I36" s="10"/>
      <c r="J36" s="9">
        <v>600</v>
      </c>
      <c r="K36" s="95"/>
    </row>
    <row r="37" spans="1:15" s="16" customFormat="1" ht="21" customHeight="1">
      <c r="A37" s="12"/>
      <c r="B37" s="12"/>
      <c r="C37" s="12"/>
      <c r="D37" s="12"/>
      <c r="E37" s="12"/>
      <c r="F37" s="15" t="s">
        <v>6</v>
      </c>
      <c r="G37" s="12"/>
      <c r="H37" s="20"/>
      <c r="I37" s="14"/>
      <c r="J37" s="36">
        <f>SUM(J34:J36)</f>
        <v>1608</v>
      </c>
      <c r="K37" s="107"/>
    </row>
    <row r="38" spans="1:15" s="28" customFormat="1" ht="21" customHeight="1">
      <c r="A38" s="31">
        <v>8</v>
      </c>
      <c r="B38" s="31" t="s">
        <v>10</v>
      </c>
      <c r="C38" s="31" t="s">
        <v>5</v>
      </c>
      <c r="D38" s="31">
        <v>2210</v>
      </c>
      <c r="E38" s="31" t="s">
        <v>19</v>
      </c>
      <c r="F38" s="31" t="s">
        <v>394</v>
      </c>
      <c r="G38" s="31" t="s">
        <v>11</v>
      </c>
      <c r="H38" s="34">
        <f>40+40+20</f>
        <v>100</v>
      </c>
      <c r="I38" s="32"/>
      <c r="J38" s="32">
        <f>220+240+400</f>
        <v>860</v>
      </c>
      <c r="K38" s="100"/>
    </row>
    <row r="39" spans="1:15" s="16" customFormat="1" ht="21" customHeight="1">
      <c r="A39" s="12"/>
      <c r="B39" s="12"/>
      <c r="C39" s="12"/>
      <c r="D39" s="12"/>
      <c r="E39" s="12"/>
      <c r="F39" s="15" t="s">
        <v>6</v>
      </c>
      <c r="G39" s="12"/>
      <c r="H39" s="20"/>
      <c r="I39" s="14"/>
      <c r="J39" s="36">
        <f>SUM(J38:J38)</f>
        <v>860</v>
      </c>
      <c r="K39" s="101"/>
      <c r="L39" s="7" t="s">
        <v>51</v>
      </c>
      <c r="O39" s="9">
        <v>440</v>
      </c>
    </row>
    <row r="40" spans="1:15" s="16" customFormat="1" ht="21" customHeight="1">
      <c r="A40" s="31">
        <v>9</v>
      </c>
      <c r="B40" s="31" t="s">
        <v>33</v>
      </c>
      <c r="C40" s="31" t="s">
        <v>5</v>
      </c>
      <c r="D40" s="31">
        <v>2210</v>
      </c>
      <c r="E40" s="31" t="s">
        <v>19</v>
      </c>
      <c r="F40" s="31" t="s">
        <v>395</v>
      </c>
      <c r="G40" s="31" t="s">
        <v>11</v>
      </c>
      <c r="H40" s="163">
        <f>10+1+1+1+33+1+2+1+1+10</f>
        <v>61</v>
      </c>
      <c r="I40" s="162"/>
      <c r="J40" s="162">
        <f>450+146+4.5+7+18+10+10+26.4+25+40+9+26+38.7+17.02</f>
        <v>827.62</v>
      </c>
      <c r="K40" s="122"/>
    </row>
    <row r="41" spans="1:15" s="16" customFormat="1" ht="21" customHeight="1">
      <c r="A41" s="31"/>
      <c r="B41" s="31"/>
      <c r="C41" s="31"/>
      <c r="D41" s="31">
        <v>2210</v>
      </c>
      <c r="E41" s="31" t="s">
        <v>19</v>
      </c>
      <c r="F41" s="31" t="s">
        <v>58</v>
      </c>
      <c r="G41" s="31" t="s">
        <v>59</v>
      </c>
      <c r="H41" s="163">
        <f>3+1+2+6+1</f>
        <v>13</v>
      </c>
      <c r="I41" s="162"/>
      <c r="J41" s="162">
        <f>40.5+10.9+21.8+51.42+148.71</f>
        <v>273.33000000000004</v>
      </c>
      <c r="K41" s="122"/>
    </row>
    <row r="42" spans="1:15" s="16" customFormat="1" ht="21" customHeight="1">
      <c r="A42" s="31"/>
      <c r="B42" s="31"/>
      <c r="C42" s="31"/>
      <c r="D42" s="31">
        <v>2210</v>
      </c>
      <c r="E42" s="31" t="s">
        <v>15</v>
      </c>
      <c r="F42" s="31" t="s">
        <v>397</v>
      </c>
      <c r="G42" s="31" t="s">
        <v>43</v>
      </c>
      <c r="H42" s="163">
        <f>5+1+1+3</f>
        <v>10</v>
      </c>
      <c r="I42" s="162"/>
      <c r="J42" s="162">
        <f>27.5+10.5+55+8</f>
        <v>101</v>
      </c>
      <c r="K42" s="122"/>
    </row>
    <row r="43" spans="1:15" s="16" customFormat="1" ht="21" customHeight="1">
      <c r="A43" s="31"/>
      <c r="B43" s="31"/>
      <c r="C43" s="31"/>
      <c r="D43" s="31">
        <v>2210</v>
      </c>
      <c r="E43" s="31">
        <v>1113</v>
      </c>
      <c r="F43" s="164" t="s">
        <v>396</v>
      </c>
      <c r="G43" s="31" t="s">
        <v>11</v>
      </c>
      <c r="H43" s="34">
        <v>2</v>
      </c>
      <c r="I43" s="32"/>
      <c r="J43" s="32">
        <v>198</v>
      </c>
      <c r="K43" s="122"/>
    </row>
    <row r="44" spans="1:15" s="16" customFormat="1" ht="21" customHeight="1">
      <c r="A44" s="127"/>
      <c r="B44" s="127"/>
      <c r="C44" s="127"/>
      <c r="D44" s="127"/>
      <c r="E44" s="127"/>
      <c r="F44" s="126" t="s">
        <v>6</v>
      </c>
      <c r="G44" s="127"/>
      <c r="H44" s="128"/>
      <c r="I44" s="129"/>
      <c r="J44" s="130">
        <f>SUM(J40:J43)</f>
        <v>1399.95</v>
      </c>
      <c r="K44" s="124">
        <v>1399.95</v>
      </c>
      <c r="L44" s="37">
        <f>J44-K44</f>
        <v>0</v>
      </c>
    </row>
    <row r="45" spans="1:15" ht="21" customHeight="1">
      <c r="A45" s="7">
        <v>10</v>
      </c>
      <c r="B45" s="7" t="s">
        <v>18</v>
      </c>
      <c r="C45" s="7" t="s">
        <v>5</v>
      </c>
      <c r="D45" s="7">
        <v>2210</v>
      </c>
      <c r="E45" s="7">
        <v>1113</v>
      </c>
      <c r="F45" s="21" t="s">
        <v>384</v>
      </c>
      <c r="G45" s="7" t="s">
        <v>11</v>
      </c>
      <c r="H45" s="19">
        <f>1+1+2</f>
        <v>4</v>
      </c>
      <c r="I45" s="9"/>
      <c r="J45" s="9">
        <f>5250+1000+1288</f>
        <v>7538</v>
      </c>
      <c r="K45" s="95"/>
    </row>
    <row r="46" spans="1:15" ht="21" customHeight="1">
      <c r="A46" s="7"/>
      <c r="B46" s="7"/>
      <c r="C46" s="7"/>
      <c r="D46" s="7">
        <v>2210</v>
      </c>
      <c r="E46" s="7">
        <v>1113</v>
      </c>
      <c r="F46" s="21" t="s">
        <v>398</v>
      </c>
      <c r="G46" s="7" t="s">
        <v>11</v>
      </c>
      <c r="H46" s="163">
        <v>4</v>
      </c>
      <c r="I46" s="162"/>
      <c r="J46" s="162">
        <v>170.4</v>
      </c>
      <c r="K46" s="178"/>
    </row>
    <row r="47" spans="1:15" ht="21" customHeight="1">
      <c r="A47" s="7"/>
      <c r="B47" s="7"/>
      <c r="C47" s="7"/>
      <c r="D47" s="7">
        <v>2210</v>
      </c>
      <c r="E47" s="7">
        <v>1113</v>
      </c>
      <c r="F47" s="21" t="s">
        <v>399</v>
      </c>
      <c r="G47" s="7" t="s">
        <v>11</v>
      </c>
      <c r="H47" s="163">
        <f>2+1</f>
        <v>3</v>
      </c>
      <c r="I47" s="162"/>
      <c r="J47" s="162">
        <f>520+290</f>
        <v>810</v>
      </c>
      <c r="K47" s="178"/>
    </row>
    <row r="48" spans="1:15" ht="21" customHeight="1">
      <c r="A48" s="7"/>
      <c r="B48" s="7"/>
      <c r="C48" s="7"/>
      <c r="D48" s="7">
        <v>2210</v>
      </c>
      <c r="E48" s="7">
        <v>1113</v>
      </c>
      <c r="F48" s="21" t="s">
        <v>400</v>
      </c>
      <c r="G48" s="7" t="s">
        <v>11</v>
      </c>
      <c r="H48" s="19">
        <v>1</v>
      </c>
      <c r="I48" s="9"/>
      <c r="J48" s="9">
        <v>4500</v>
      </c>
      <c r="K48" s="95"/>
    </row>
    <row r="49" spans="1:12" ht="21" customHeight="1">
      <c r="A49" s="7"/>
      <c r="B49" s="7"/>
      <c r="C49" s="7"/>
      <c r="D49" s="7">
        <v>2210</v>
      </c>
      <c r="E49" s="7">
        <v>1113</v>
      </c>
      <c r="F49" s="21" t="s">
        <v>377</v>
      </c>
      <c r="G49" s="7" t="s">
        <v>11</v>
      </c>
      <c r="H49" s="19">
        <v>1</v>
      </c>
      <c r="I49" s="9"/>
      <c r="J49" s="9">
        <v>2700</v>
      </c>
      <c r="K49" s="106"/>
    </row>
    <row r="50" spans="1:12" ht="21" customHeight="1">
      <c r="A50" s="7"/>
      <c r="B50" s="7"/>
      <c r="C50" s="7"/>
      <c r="D50" s="7">
        <v>2210</v>
      </c>
      <c r="E50" s="7">
        <v>1114</v>
      </c>
      <c r="F50" s="21" t="s">
        <v>401</v>
      </c>
      <c r="G50" s="7" t="s">
        <v>43</v>
      </c>
      <c r="H50" s="7">
        <f>40+24+24</f>
        <v>88</v>
      </c>
      <c r="I50" s="9"/>
      <c r="J50" s="9">
        <f>1272+2110+1140</f>
        <v>4522</v>
      </c>
      <c r="K50" s="106"/>
    </row>
    <row r="51" spans="1:12" s="16" customFormat="1" ht="21" customHeight="1">
      <c r="A51" s="12"/>
      <c r="B51" s="12"/>
      <c r="C51" s="12"/>
      <c r="D51" s="12"/>
      <c r="E51" s="12"/>
      <c r="F51" s="22" t="s">
        <v>6</v>
      </c>
      <c r="G51" s="12"/>
      <c r="H51" s="20"/>
      <c r="I51" s="14"/>
      <c r="J51" s="36">
        <f>SUM(J45:J50)</f>
        <v>20240.400000000001</v>
      </c>
      <c r="K51" s="107"/>
    </row>
    <row r="52" spans="1:12" s="23" customFormat="1" ht="21" customHeight="1">
      <c r="A52" s="693" t="s">
        <v>23</v>
      </c>
      <c r="B52" s="693"/>
      <c r="C52" s="693"/>
      <c r="D52" s="693"/>
      <c r="E52" s="693"/>
      <c r="F52" s="693"/>
      <c r="G52" s="693"/>
      <c r="H52" s="693"/>
      <c r="I52" s="693"/>
      <c r="J52" s="90">
        <f>J5+J10+J15+J21+J25+J33+J37+J39+J44+J51</f>
        <v>95235.23000000001</v>
      </c>
      <c r="K52" s="108"/>
      <c r="L52" s="38"/>
    </row>
    <row r="53" spans="1:12" customFormat="1" ht="21" customHeight="1">
      <c r="A53" s="49">
        <v>14</v>
      </c>
      <c r="B53" s="40" t="s">
        <v>412</v>
      </c>
      <c r="C53" s="46" t="s">
        <v>5</v>
      </c>
      <c r="D53" s="45">
        <v>2210</v>
      </c>
      <c r="E53" s="41" t="s">
        <v>15</v>
      </c>
      <c r="F53" s="41" t="s">
        <v>413</v>
      </c>
      <c r="G53" s="41" t="s">
        <v>12</v>
      </c>
      <c r="H53" s="41">
        <v>14</v>
      </c>
      <c r="I53" s="42"/>
      <c r="J53" s="43">
        <v>495</v>
      </c>
      <c r="K53" s="123"/>
    </row>
    <row r="54" spans="1:12" customFormat="1" ht="21" customHeight="1">
      <c r="A54" s="72"/>
      <c r="B54" s="74"/>
      <c r="C54" s="153"/>
      <c r="D54" s="87"/>
      <c r="E54" s="74"/>
      <c r="F54" s="74" t="s">
        <v>6</v>
      </c>
      <c r="G54" s="74"/>
      <c r="H54" s="74"/>
      <c r="I54" s="88"/>
      <c r="J54" s="155">
        <f>SUM(J53:J53)</f>
        <v>495</v>
      </c>
      <c r="K54" s="109"/>
    </row>
    <row r="55" spans="1:12" s="1" customFormat="1" ht="21" customHeight="1">
      <c r="A55" s="39"/>
      <c r="B55" s="40" t="s">
        <v>342</v>
      </c>
      <c r="C55" s="518" t="s">
        <v>5</v>
      </c>
      <c r="D55" s="45">
        <v>2210</v>
      </c>
      <c r="E55" s="41" t="s">
        <v>15</v>
      </c>
      <c r="F55" s="41" t="s">
        <v>414</v>
      </c>
      <c r="G55" s="41" t="s">
        <v>344</v>
      </c>
      <c r="H55" s="41">
        <f>13+3+50+40+60+30+2+20+1+2+3+1+2+3+4+2+2+1+12+8+4+4+5+2+3+2+5.6+4+4+6+1</f>
        <v>299.60000000000002</v>
      </c>
      <c r="I55" s="42"/>
      <c r="J55" s="43">
        <f>400+186+300+210+550+299+198+80+60+60+150+100+540+150+308+36+56+60+38+5720+210+225+120+36+57+30+240+62+60+177+31</f>
        <v>10749</v>
      </c>
      <c r="K55" s="526"/>
    </row>
    <row r="56" spans="1:12" s="1" customFormat="1" ht="21" customHeight="1">
      <c r="A56" s="39"/>
      <c r="B56" s="40"/>
      <c r="C56" s="518"/>
      <c r="D56" s="45">
        <v>2210</v>
      </c>
      <c r="E56" s="41" t="s">
        <v>15</v>
      </c>
      <c r="F56" s="41" t="s">
        <v>415</v>
      </c>
      <c r="G56" s="41" t="s">
        <v>59</v>
      </c>
      <c r="H56" s="41">
        <v>2</v>
      </c>
      <c r="I56" s="42"/>
      <c r="J56" s="43">
        <v>300</v>
      </c>
      <c r="K56" s="526"/>
    </row>
    <row r="57" spans="1:12" s="1" customFormat="1" ht="21" customHeight="1">
      <c r="A57" s="39"/>
      <c r="B57" s="40"/>
      <c r="C57" s="518"/>
      <c r="D57" s="45">
        <v>2210</v>
      </c>
      <c r="E57" s="41">
        <v>1518</v>
      </c>
      <c r="F57" s="41" t="s">
        <v>234</v>
      </c>
      <c r="G57" s="41" t="s">
        <v>13</v>
      </c>
      <c r="H57" s="41">
        <v>10</v>
      </c>
      <c r="I57" s="42"/>
      <c r="J57" s="43">
        <v>200</v>
      </c>
      <c r="K57" s="526"/>
    </row>
    <row r="58" spans="1:12" s="1" customFormat="1" ht="21" customHeight="1">
      <c r="A58" s="39"/>
      <c r="B58" s="40"/>
      <c r="C58" s="518"/>
      <c r="D58" s="45">
        <v>2210</v>
      </c>
      <c r="E58" s="41">
        <v>1113</v>
      </c>
      <c r="F58" s="41" t="s">
        <v>416</v>
      </c>
      <c r="G58" s="41" t="s">
        <v>43</v>
      </c>
      <c r="H58" s="41">
        <v>15</v>
      </c>
      <c r="I58" s="42"/>
      <c r="J58" s="43">
        <v>600</v>
      </c>
      <c r="K58" s="526"/>
    </row>
    <row r="59" spans="1:12" s="1" customFormat="1" ht="21" customHeight="1">
      <c r="A59" s="39"/>
      <c r="B59" s="40"/>
      <c r="C59" s="518"/>
      <c r="D59" s="45">
        <v>2210</v>
      </c>
      <c r="E59" s="41">
        <v>1113</v>
      </c>
      <c r="F59" s="41" t="s">
        <v>417</v>
      </c>
      <c r="G59" s="41" t="s">
        <v>43</v>
      </c>
      <c r="H59" s="41">
        <v>2</v>
      </c>
      <c r="I59" s="42"/>
      <c r="J59" s="43">
        <v>346</v>
      </c>
      <c r="K59" s="526"/>
    </row>
    <row r="60" spans="1:12" s="1" customFormat="1" ht="21" customHeight="1">
      <c r="A60" s="39"/>
      <c r="B60" s="40"/>
      <c r="C60" s="518"/>
      <c r="D60" s="45">
        <v>2210</v>
      </c>
      <c r="E60" s="41">
        <v>1113</v>
      </c>
      <c r="F60" s="41" t="s">
        <v>418</v>
      </c>
      <c r="G60" s="41" t="s">
        <v>43</v>
      </c>
      <c r="H60" s="41">
        <v>1</v>
      </c>
      <c r="I60" s="42"/>
      <c r="J60" s="43">
        <v>65</v>
      </c>
      <c r="K60" s="526"/>
    </row>
    <row r="61" spans="1:12" customFormat="1" ht="21" customHeight="1">
      <c r="A61" s="72"/>
      <c r="B61" s="73"/>
      <c r="C61" s="524"/>
      <c r="D61" s="87"/>
      <c r="E61" s="74"/>
      <c r="F61" s="74" t="s">
        <v>6</v>
      </c>
      <c r="G61" s="74"/>
      <c r="H61" s="74"/>
      <c r="I61" s="88"/>
      <c r="J61" s="155">
        <f>SUM(J55:J60)</f>
        <v>12260</v>
      </c>
      <c r="K61" s="525"/>
    </row>
    <row r="62" spans="1:12" s="1" customFormat="1" ht="21" customHeight="1">
      <c r="A62" s="39"/>
      <c r="B62" s="40" t="s">
        <v>346</v>
      </c>
      <c r="C62" s="709" t="s">
        <v>419</v>
      </c>
      <c r="D62" s="45">
        <v>2210</v>
      </c>
      <c r="E62" s="41">
        <v>1113</v>
      </c>
      <c r="F62" s="41" t="s">
        <v>420</v>
      </c>
      <c r="G62" s="41" t="s">
        <v>43</v>
      </c>
      <c r="H62" s="41">
        <v>4</v>
      </c>
      <c r="I62" s="42"/>
      <c r="J62" s="43">
        <v>2360</v>
      </c>
      <c r="K62" s="526"/>
    </row>
    <row r="63" spans="1:12" s="1" customFormat="1" ht="92.25" customHeight="1">
      <c r="A63" s="39"/>
      <c r="B63" s="40"/>
      <c r="C63" s="696"/>
      <c r="D63" s="45"/>
      <c r="E63" s="41"/>
      <c r="F63" s="41" t="s">
        <v>421</v>
      </c>
      <c r="G63" s="41" t="s">
        <v>43</v>
      </c>
      <c r="H63" s="41">
        <v>1</v>
      </c>
      <c r="I63" s="42"/>
      <c r="J63" s="43">
        <v>3200</v>
      </c>
      <c r="K63" s="526"/>
    </row>
    <row r="64" spans="1:12" customFormat="1" ht="21" customHeight="1">
      <c r="A64" s="72"/>
      <c r="B64" s="73"/>
      <c r="C64" s="524"/>
      <c r="D64" s="87"/>
      <c r="E64" s="74"/>
      <c r="F64" s="74" t="s">
        <v>6</v>
      </c>
      <c r="G64" s="74"/>
      <c r="H64" s="74"/>
      <c r="I64" s="88"/>
      <c r="J64" s="155">
        <f>SUM(J62:J63)</f>
        <v>5560</v>
      </c>
      <c r="K64" s="525"/>
    </row>
    <row r="65" spans="1:11" s="1" customFormat="1" ht="21" customHeight="1">
      <c r="A65" s="39"/>
      <c r="B65" s="40" t="s">
        <v>264</v>
      </c>
      <c r="C65" s="518" t="s">
        <v>5</v>
      </c>
      <c r="D65" s="45">
        <v>2210</v>
      </c>
      <c r="E65" s="41">
        <v>1113</v>
      </c>
      <c r="F65" s="41" t="s">
        <v>422</v>
      </c>
      <c r="G65" s="41" t="s">
        <v>43</v>
      </c>
      <c r="H65" s="41">
        <v>1</v>
      </c>
      <c r="I65" s="42"/>
      <c r="J65" s="43">
        <v>3700</v>
      </c>
      <c r="K65" s="526"/>
    </row>
    <row r="66" spans="1:11" s="1" customFormat="1" ht="21" customHeight="1">
      <c r="A66" s="39"/>
      <c r="B66" s="40"/>
      <c r="C66" s="518"/>
      <c r="D66" s="45">
        <v>2210</v>
      </c>
      <c r="E66" s="41">
        <v>1113</v>
      </c>
      <c r="F66" s="41" t="s">
        <v>277</v>
      </c>
      <c r="G66" s="41" t="s">
        <v>43</v>
      </c>
      <c r="H66" s="41">
        <v>1</v>
      </c>
      <c r="I66" s="42"/>
      <c r="J66" s="43">
        <v>1200</v>
      </c>
      <c r="K66" s="526"/>
    </row>
    <row r="67" spans="1:11" s="1" customFormat="1" ht="21" customHeight="1">
      <c r="A67" s="39"/>
      <c r="B67" s="40"/>
      <c r="C67" s="709" t="s">
        <v>419</v>
      </c>
      <c r="D67" s="45">
        <v>2210</v>
      </c>
      <c r="E67" s="41">
        <v>1113</v>
      </c>
      <c r="F67" s="41" t="s">
        <v>423</v>
      </c>
      <c r="G67" s="41" t="s">
        <v>43</v>
      </c>
      <c r="H67" s="41">
        <v>1</v>
      </c>
      <c r="I67" s="42"/>
      <c r="J67" s="43">
        <v>1500</v>
      </c>
      <c r="K67" s="526"/>
    </row>
    <row r="68" spans="1:11" s="1" customFormat="1" ht="21" customHeight="1">
      <c r="A68" s="39"/>
      <c r="B68" s="40"/>
      <c r="C68" s="696"/>
      <c r="D68" s="45">
        <v>2210</v>
      </c>
      <c r="E68" s="41">
        <v>1113</v>
      </c>
      <c r="F68" s="41" t="s">
        <v>424</v>
      </c>
      <c r="G68" s="41" t="s">
        <v>43</v>
      </c>
      <c r="H68" s="41">
        <v>1</v>
      </c>
      <c r="I68" s="42"/>
      <c r="J68" s="43">
        <v>4320</v>
      </c>
      <c r="K68" s="526"/>
    </row>
    <row r="69" spans="1:11" s="1" customFormat="1" ht="21" customHeight="1">
      <c r="A69" s="39"/>
      <c r="B69" s="40"/>
      <c r="C69" s="696"/>
      <c r="D69" s="45">
        <v>2210</v>
      </c>
      <c r="E69" s="41">
        <v>1113</v>
      </c>
      <c r="F69" s="41" t="s">
        <v>425</v>
      </c>
      <c r="G69" s="41" t="s">
        <v>43</v>
      </c>
      <c r="H69" s="41">
        <v>1</v>
      </c>
      <c r="I69" s="42"/>
      <c r="J69" s="43">
        <v>2673</v>
      </c>
      <c r="K69" s="526"/>
    </row>
    <row r="70" spans="1:11" s="1" customFormat="1" ht="21" customHeight="1">
      <c r="A70" s="39"/>
      <c r="B70" s="40"/>
      <c r="C70" s="696"/>
      <c r="D70" s="45">
        <v>2210</v>
      </c>
      <c r="E70" s="41">
        <v>1113</v>
      </c>
      <c r="F70" s="41" t="s">
        <v>426</v>
      </c>
      <c r="G70" s="41" t="s">
        <v>43</v>
      </c>
      <c r="H70" s="41">
        <v>1</v>
      </c>
      <c r="I70" s="42"/>
      <c r="J70" s="43">
        <v>2340</v>
      </c>
      <c r="K70" s="526"/>
    </row>
    <row r="71" spans="1:11" s="1" customFormat="1" ht="21" customHeight="1">
      <c r="A71" s="39"/>
      <c r="B71" s="40"/>
      <c r="C71" s="696"/>
      <c r="D71" s="45">
        <v>2210</v>
      </c>
      <c r="E71" s="41">
        <v>1113</v>
      </c>
      <c r="F71" s="41" t="s">
        <v>427</v>
      </c>
      <c r="G71" s="41" t="s">
        <v>43</v>
      </c>
      <c r="H71" s="41">
        <v>4</v>
      </c>
      <c r="I71" s="42"/>
      <c r="J71" s="43">
        <v>4400</v>
      </c>
      <c r="K71" s="526"/>
    </row>
    <row r="72" spans="1:11" s="1" customFormat="1" ht="21" customHeight="1">
      <c r="A72" s="39"/>
      <c r="B72" s="40"/>
      <c r="C72" s="696"/>
      <c r="D72" s="45">
        <v>2210</v>
      </c>
      <c r="E72" s="41">
        <v>1113</v>
      </c>
      <c r="F72" s="41" t="s">
        <v>421</v>
      </c>
      <c r="G72" s="41" t="s">
        <v>43</v>
      </c>
      <c r="H72" s="41">
        <v>1</v>
      </c>
      <c r="I72" s="42"/>
      <c r="J72" s="43">
        <v>3250</v>
      </c>
      <c r="K72" s="526"/>
    </row>
    <row r="73" spans="1:11" s="1" customFormat="1" ht="21" customHeight="1">
      <c r="A73" s="39"/>
      <c r="B73" s="40"/>
      <c r="C73" s="696"/>
      <c r="D73" s="45">
        <v>2210</v>
      </c>
      <c r="E73" s="41">
        <v>1113</v>
      </c>
      <c r="F73" s="41" t="s">
        <v>428</v>
      </c>
      <c r="G73" s="41" t="s">
        <v>43</v>
      </c>
      <c r="H73" s="41">
        <v>1</v>
      </c>
      <c r="I73" s="42"/>
      <c r="J73" s="43">
        <v>2550</v>
      </c>
      <c r="K73" s="526"/>
    </row>
    <row r="74" spans="1:11" s="1" customFormat="1" ht="21" customHeight="1">
      <c r="A74" s="39"/>
      <c r="B74" s="40"/>
      <c r="C74" s="696"/>
      <c r="D74" s="45">
        <v>2210</v>
      </c>
      <c r="E74" s="41">
        <v>1113</v>
      </c>
      <c r="F74" s="41" t="s">
        <v>429</v>
      </c>
      <c r="G74" s="41" t="s">
        <v>43</v>
      </c>
      <c r="H74" s="41">
        <v>1</v>
      </c>
      <c r="I74" s="42"/>
      <c r="J74" s="43">
        <v>1090</v>
      </c>
      <c r="K74" s="526"/>
    </row>
    <row r="75" spans="1:11" s="1" customFormat="1" ht="21" customHeight="1">
      <c r="A75" s="39"/>
      <c r="B75" s="40"/>
      <c r="C75" s="696"/>
      <c r="D75" s="45">
        <v>3110</v>
      </c>
      <c r="E75" s="41">
        <v>1014</v>
      </c>
      <c r="F75" s="41" t="s">
        <v>430</v>
      </c>
      <c r="G75" s="41" t="s">
        <v>43</v>
      </c>
      <c r="H75" s="41">
        <v>1</v>
      </c>
      <c r="I75" s="42"/>
      <c r="J75" s="43">
        <v>16650</v>
      </c>
      <c r="K75" s="526"/>
    </row>
    <row r="76" spans="1:11" s="1" customFormat="1" ht="21" customHeight="1">
      <c r="A76" s="39"/>
      <c r="B76" s="40"/>
      <c r="C76" s="696"/>
      <c r="D76" s="45">
        <v>3110</v>
      </c>
      <c r="E76" s="41">
        <v>1014</v>
      </c>
      <c r="F76" s="41" t="s">
        <v>431</v>
      </c>
      <c r="G76" s="41" t="s">
        <v>43</v>
      </c>
      <c r="H76" s="41">
        <v>1</v>
      </c>
      <c r="I76" s="42"/>
      <c r="J76" s="43">
        <v>8181</v>
      </c>
      <c r="K76" s="526"/>
    </row>
    <row r="77" spans="1:11" s="1" customFormat="1" ht="21" customHeight="1">
      <c r="A77" s="39"/>
      <c r="B77" s="40"/>
      <c r="C77" s="696"/>
      <c r="D77" s="45">
        <v>3110</v>
      </c>
      <c r="E77" s="41">
        <v>1014</v>
      </c>
      <c r="F77" s="41" t="s">
        <v>432</v>
      </c>
      <c r="G77" s="41" t="s">
        <v>43</v>
      </c>
      <c r="H77" s="41">
        <v>1</v>
      </c>
      <c r="I77" s="42"/>
      <c r="J77" s="43">
        <v>19800</v>
      </c>
      <c r="K77" s="526"/>
    </row>
    <row r="78" spans="1:11" s="1" customFormat="1" ht="21" customHeight="1">
      <c r="A78" s="39"/>
      <c r="B78" s="40"/>
      <c r="C78" s="697"/>
      <c r="D78" s="45">
        <v>3110</v>
      </c>
      <c r="E78" s="41">
        <v>1014</v>
      </c>
      <c r="F78" s="41" t="s">
        <v>433</v>
      </c>
      <c r="G78" s="41" t="s">
        <v>43</v>
      </c>
      <c r="H78" s="41">
        <v>1</v>
      </c>
      <c r="I78" s="42"/>
      <c r="J78" s="43">
        <v>7110</v>
      </c>
      <c r="K78" s="526"/>
    </row>
    <row r="79" spans="1:11" s="1" customFormat="1" ht="21" customHeight="1">
      <c r="A79" s="39"/>
      <c r="B79" s="40"/>
      <c r="C79" s="517"/>
      <c r="D79" s="45">
        <v>3110</v>
      </c>
      <c r="E79" s="41">
        <v>1014</v>
      </c>
      <c r="F79" s="41" t="s">
        <v>434</v>
      </c>
      <c r="G79" s="41" t="s">
        <v>43</v>
      </c>
      <c r="H79" s="41">
        <v>1</v>
      </c>
      <c r="I79" s="42"/>
      <c r="J79" s="43">
        <v>14040</v>
      </c>
      <c r="K79" s="526"/>
    </row>
    <row r="80" spans="1:11" customFormat="1" ht="21" customHeight="1">
      <c r="A80" s="72"/>
      <c r="B80" s="73"/>
      <c r="C80" s="524"/>
      <c r="D80" s="87"/>
      <c r="E80" s="74"/>
      <c r="F80" s="79" t="s">
        <v>6</v>
      </c>
      <c r="G80" s="74"/>
      <c r="H80" s="74"/>
      <c r="I80" s="88"/>
      <c r="J80" s="155">
        <f>SUM(J65:J79)</f>
        <v>92804</v>
      </c>
      <c r="K80" s="525"/>
    </row>
    <row r="81" spans="1:11" customFormat="1" ht="60.75" customHeight="1">
      <c r="A81" s="49">
        <v>15</v>
      </c>
      <c r="B81" s="40" t="s">
        <v>35</v>
      </c>
      <c r="C81" s="516" t="s">
        <v>435</v>
      </c>
      <c r="D81" s="527">
        <v>3110</v>
      </c>
      <c r="E81" s="528">
        <v>1112</v>
      </c>
      <c r="F81" s="41" t="s">
        <v>436</v>
      </c>
      <c r="G81" s="41" t="s">
        <v>11</v>
      </c>
      <c r="H81" s="41">
        <v>2</v>
      </c>
      <c r="I81" s="42"/>
      <c r="J81" s="43">
        <v>120</v>
      </c>
      <c r="K81" s="125"/>
    </row>
    <row r="82" spans="1:11" customFormat="1" ht="21" customHeight="1">
      <c r="A82" s="72"/>
      <c r="B82" s="78"/>
      <c r="C82" s="72"/>
      <c r="D82" s="78"/>
      <c r="E82" s="78"/>
      <c r="F82" s="79" t="s">
        <v>6</v>
      </c>
      <c r="G82" s="80"/>
      <c r="H82" s="141"/>
      <c r="I82" s="81"/>
      <c r="J82" s="77">
        <f>SUM(J81:J81)</f>
        <v>120</v>
      </c>
      <c r="K82" s="111"/>
    </row>
    <row r="83" spans="1:11" customFormat="1" ht="21" customHeight="1">
      <c r="A83" s="39">
        <v>16</v>
      </c>
      <c r="B83" s="135" t="s">
        <v>437</v>
      </c>
      <c r="C83" s="6" t="s">
        <v>5</v>
      </c>
      <c r="D83" s="50">
        <v>2210</v>
      </c>
      <c r="E83" s="39">
        <v>1113</v>
      </c>
      <c r="F83" s="146" t="s">
        <v>438</v>
      </c>
      <c r="G83" s="39" t="s">
        <v>11</v>
      </c>
      <c r="H83" s="146">
        <f>30+18+1+2</f>
        <v>51</v>
      </c>
      <c r="I83" s="139"/>
      <c r="J83" s="140">
        <f>6000+2160+200+100</f>
        <v>8460</v>
      </c>
      <c r="K83" s="132"/>
    </row>
    <row r="84" spans="1:11" customFormat="1" ht="21" customHeight="1">
      <c r="A84" s="39"/>
      <c r="B84" s="135"/>
      <c r="C84" s="6"/>
      <c r="D84" s="50">
        <v>2210</v>
      </c>
      <c r="E84" s="39">
        <v>1113</v>
      </c>
      <c r="F84" s="146" t="s">
        <v>53</v>
      </c>
      <c r="G84" s="39" t="s">
        <v>11</v>
      </c>
      <c r="H84" s="168">
        <v>3</v>
      </c>
      <c r="I84" s="169"/>
      <c r="J84" s="170">
        <v>1500</v>
      </c>
      <c r="K84" s="132"/>
    </row>
    <row r="85" spans="1:11" customFormat="1" ht="21" customHeight="1">
      <c r="A85" s="72"/>
      <c r="B85" s="136"/>
      <c r="C85" s="137"/>
      <c r="D85" s="82"/>
      <c r="E85" s="72"/>
      <c r="F85" s="79" t="s">
        <v>6</v>
      </c>
      <c r="G85" s="78"/>
      <c r="H85" s="138"/>
      <c r="I85" s="80"/>
      <c r="J85" s="76">
        <f>SUM(J83:J84)</f>
        <v>9960</v>
      </c>
      <c r="K85" s="81"/>
    </row>
    <row r="86" spans="1:11" customFormat="1" ht="21" customHeight="1">
      <c r="A86" s="51">
        <v>17</v>
      </c>
      <c r="B86" s="133" t="s">
        <v>351</v>
      </c>
      <c r="C86" s="134" t="s">
        <v>5</v>
      </c>
      <c r="D86" s="54">
        <v>2210</v>
      </c>
      <c r="E86" s="54">
        <v>1113</v>
      </c>
      <c r="F86" s="10" t="s">
        <v>439</v>
      </c>
      <c r="G86" s="54" t="s">
        <v>11</v>
      </c>
      <c r="H86" s="54">
        <f>1+4+1+1+1</f>
        <v>8</v>
      </c>
      <c r="I86" s="55"/>
      <c r="J86" s="56">
        <f>4100+12800+2590+4000+2200</f>
        <v>25690</v>
      </c>
      <c r="K86" s="112"/>
    </row>
    <row r="87" spans="1:11" customFormat="1" ht="21" customHeight="1">
      <c r="A87" s="51"/>
      <c r="B87" s="133"/>
      <c r="C87" s="134"/>
      <c r="D87" s="54">
        <v>2210</v>
      </c>
      <c r="E87" s="54" t="s">
        <v>15</v>
      </c>
      <c r="F87" s="54" t="s">
        <v>440</v>
      </c>
      <c r="G87" s="54" t="s">
        <v>11</v>
      </c>
      <c r="H87" s="171">
        <f>1+1+1+1+1</f>
        <v>5</v>
      </c>
      <c r="I87" s="172"/>
      <c r="J87" s="173">
        <f>5800+2700+3450+3405+4300</f>
        <v>19655</v>
      </c>
      <c r="K87" s="112"/>
    </row>
    <row r="88" spans="1:11" customFormat="1" ht="21" customHeight="1">
      <c r="A88" s="72"/>
      <c r="B88" s="73"/>
      <c r="C88" s="74"/>
      <c r="D88" s="74"/>
      <c r="E88" s="74"/>
      <c r="F88" s="79" t="s">
        <v>6</v>
      </c>
      <c r="G88" s="83"/>
      <c r="H88" s="84"/>
      <c r="I88" s="85"/>
      <c r="J88" s="77">
        <f>SUM(J86:J87)</f>
        <v>45345</v>
      </c>
      <c r="K88" s="109"/>
    </row>
    <row r="89" spans="1:11" customFormat="1" ht="51.75" customHeight="1">
      <c r="A89" s="39">
        <v>18</v>
      </c>
      <c r="B89" s="40" t="s">
        <v>441</v>
      </c>
      <c r="C89" s="516" t="s">
        <v>435</v>
      </c>
      <c r="D89" s="41">
        <v>3110</v>
      </c>
      <c r="E89" s="41">
        <v>1112</v>
      </c>
      <c r="F89" s="146" t="s">
        <v>442</v>
      </c>
      <c r="G89" s="35" t="s">
        <v>11</v>
      </c>
      <c r="H89" s="147">
        <v>5</v>
      </c>
      <c r="I89" s="140"/>
      <c r="J89" s="152">
        <v>250</v>
      </c>
      <c r="K89" s="113"/>
    </row>
    <row r="90" spans="1:11" customFormat="1" ht="21" customHeight="1">
      <c r="A90" s="72"/>
      <c r="B90" s="73"/>
      <c r="C90" s="74"/>
      <c r="D90" s="74"/>
      <c r="E90" s="74"/>
      <c r="F90" s="79" t="s">
        <v>6</v>
      </c>
      <c r="G90" s="83"/>
      <c r="H90" s="84"/>
      <c r="I90" s="85"/>
      <c r="J90" s="86">
        <f>SUM(J89)</f>
        <v>250</v>
      </c>
      <c r="K90" s="114"/>
    </row>
    <row r="91" spans="1:11" customFormat="1" ht="21" customHeight="1">
      <c r="A91" s="51">
        <v>19</v>
      </c>
      <c r="B91" s="52" t="s">
        <v>22</v>
      </c>
      <c r="C91" s="53" t="s">
        <v>5</v>
      </c>
      <c r="D91" s="54">
        <v>2210</v>
      </c>
      <c r="E91" s="54">
        <v>1113</v>
      </c>
      <c r="F91" s="157" t="s">
        <v>443</v>
      </c>
      <c r="G91" s="54" t="s">
        <v>43</v>
      </c>
      <c r="H91" s="54">
        <v>35</v>
      </c>
      <c r="I91" s="55"/>
      <c r="J91" s="56">
        <v>3465</v>
      </c>
      <c r="K91" s="151"/>
    </row>
    <row r="92" spans="1:11" customFormat="1" ht="21" customHeight="1">
      <c r="A92" s="51"/>
      <c r="B92" s="52"/>
      <c r="C92" s="53"/>
      <c r="D92" s="54">
        <v>2210</v>
      </c>
      <c r="E92" s="54" t="s">
        <v>15</v>
      </c>
      <c r="F92" s="157" t="s">
        <v>444</v>
      </c>
      <c r="G92" s="54" t="s">
        <v>11</v>
      </c>
      <c r="H92" s="171">
        <v>4</v>
      </c>
      <c r="I92" s="172"/>
      <c r="J92" s="173">
        <v>1928</v>
      </c>
      <c r="K92" s="151"/>
    </row>
    <row r="93" spans="1:11" customFormat="1" ht="21" customHeight="1">
      <c r="A93" s="51"/>
      <c r="B93" s="52"/>
      <c r="C93" s="53"/>
      <c r="D93" s="54">
        <v>2210</v>
      </c>
      <c r="E93" s="54" t="s">
        <v>15</v>
      </c>
      <c r="F93" s="46" t="s">
        <v>445</v>
      </c>
      <c r="G93" s="54" t="s">
        <v>43</v>
      </c>
      <c r="H93" s="54">
        <f>12+4+5</f>
        <v>21</v>
      </c>
      <c r="I93" s="55"/>
      <c r="J93" s="56">
        <f>145.2+125+94</f>
        <v>364.2</v>
      </c>
      <c r="K93" s="151"/>
    </row>
    <row r="94" spans="1:11" customFormat="1" ht="21" customHeight="1">
      <c r="A94" s="51"/>
      <c r="B94" s="52"/>
      <c r="C94" s="53"/>
      <c r="D94" s="54">
        <v>2210</v>
      </c>
      <c r="E94" s="54">
        <v>1513</v>
      </c>
      <c r="F94" s="46" t="s">
        <v>446</v>
      </c>
      <c r="G94" s="54" t="s">
        <v>43</v>
      </c>
      <c r="H94" s="54">
        <v>4</v>
      </c>
      <c r="I94" s="55"/>
      <c r="J94" s="56">
        <v>10453</v>
      </c>
      <c r="K94" s="151"/>
    </row>
    <row r="95" spans="1:11" customFormat="1" ht="21" customHeight="1">
      <c r="A95" s="72"/>
      <c r="B95" s="73"/>
      <c r="C95" s="74"/>
      <c r="D95" s="74"/>
      <c r="E95" s="74"/>
      <c r="F95" s="79" t="s">
        <v>6</v>
      </c>
      <c r="G95" s="87"/>
      <c r="H95" s="74"/>
      <c r="I95" s="88"/>
      <c r="J95" s="77">
        <f>SUM(J91:J94)</f>
        <v>16210.2</v>
      </c>
      <c r="K95" s="109"/>
    </row>
    <row r="96" spans="1:11" s="1" customFormat="1" ht="21" customHeight="1">
      <c r="A96" s="67">
        <v>20</v>
      </c>
      <c r="B96" s="44" t="s">
        <v>24</v>
      </c>
      <c r="C96" s="698" t="s">
        <v>5</v>
      </c>
      <c r="D96" s="45">
        <v>2210</v>
      </c>
      <c r="E96" s="45">
        <v>1113</v>
      </c>
      <c r="F96" s="31" t="s">
        <v>447</v>
      </c>
      <c r="G96" s="45" t="s">
        <v>11</v>
      </c>
      <c r="H96" s="45">
        <v>3</v>
      </c>
      <c r="I96" s="47"/>
      <c r="J96" s="48">
        <v>5057</v>
      </c>
      <c r="K96" s="123"/>
    </row>
    <row r="97" spans="1:11" s="1" customFormat="1" ht="21" customHeight="1">
      <c r="A97" s="67"/>
      <c r="B97" s="44"/>
      <c r="C97" s="699"/>
      <c r="D97" s="45">
        <v>2210</v>
      </c>
      <c r="E97" s="45" t="s">
        <v>19</v>
      </c>
      <c r="F97" s="31" t="s">
        <v>448</v>
      </c>
      <c r="G97" s="45" t="s">
        <v>43</v>
      </c>
      <c r="H97" s="45">
        <v>1</v>
      </c>
      <c r="I97" s="47"/>
      <c r="J97" s="48">
        <v>3561</v>
      </c>
      <c r="K97" s="131"/>
    </row>
    <row r="98" spans="1:11" s="1" customFormat="1" ht="21" customHeight="1">
      <c r="A98" s="67"/>
      <c r="B98" s="44"/>
      <c r="C98" s="699"/>
      <c r="D98" s="45">
        <v>2210</v>
      </c>
      <c r="E98" s="45">
        <v>1513</v>
      </c>
      <c r="F98" s="31" t="s">
        <v>339</v>
      </c>
      <c r="G98" s="45" t="s">
        <v>43</v>
      </c>
      <c r="H98" s="45">
        <v>4</v>
      </c>
      <c r="I98" s="47"/>
      <c r="J98" s="48">
        <v>13142</v>
      </c>
      <c r="K98" s="131"/>
    </row>
    <row r="99" spans="1:11" customFormat="1" ht="21" customHeight="1">
      <c r="A99" s="72"/>
      <c r="B99" s="73"/>
      <c r="C99" s="74"/>
      <c r="D99" s="74"/>
      <c r="E99" s="74"/>
      <c r="F99" s="75" t="s">
        <v>6</v>
      </c>
      <c r="G99" s="87"/>
      <c r="H99" s="74"/>
      <c r="I99" s="88"/>
      <c r="J99" s="77">
        <f>SUM(J96:J98)</f>
        <v>21760</v>
      </c>
      <c r="K99" s="109"/>
    </row>
    <row r="100" spans="1:11" customFormat="1" ht="21" customHeight="1">
      <c r="A100" s="39">
        <v>21</v>
      </c>
      <c r="B100" s="40" t="s">
        <v>360</v>
      </c>
      <c r="C100" s="701" t="s">
        <v>304</v>
      </c>
      <c r="D100" s="41">
        <v>2210</v>
      </c>
      <c r="E100" s="41">
        <v>1113</v>
      </c>
      <c r="F100" s="147" t="s">
        <v>449</v>
      </c>
      <c r="G100" s="6" t="s">
        <v>11</v>
      </c>
      <c r="H100" s="41">
        <v>34</v>
      </c>
      <c r="I100" s="42"/>
      <c r="J100" s="152">
        <v>10200</v>
      </c>
      <c r="K100" s="110"/>
    </row>
    <row r="101" spans="1:11" customFormat="1" ht="21" customHeight="1">
      <c r="A101" s="39"/>
      <c r="B101" s="40"/>
      <c r="C101" s="702"/>
      <c r="D101" s="41">
        <v>2210</v>
      </c>
      <c r="E101" s="41">
        <v>1113</v>
      </c>
      <c r="F101" s="147" t="s">
        <v>450</v>
      </c>
      <c r="G101" s="6" t="s">
        <v>11</v>
      </c>
      <c r="H101" s="41">
        <v>1</v>
      </c>
      <c r="I101" s="166"/>
      <c r="J101" s="175">
        <v>3225</v>
      </c>
      <c r="K101" s="110"/>
    </row>
    <row r="102" spans="1:11" s="266" customFormat="1" ht="21" customHeight="1">
      <c r="A102" s="72"/>
      <c r="B102" s="73"/>
      <c r="C102" s="74"/>
      <c r="D102" s="74"/>
      <c r="E102" s="74"/>
      <c r="F102" s="75" t="s">
        <v>6</v>
      </c>
      <c r="G102" s="87"/>
      <c r="H102" s="74"/>
      <c r="I102" s="88"/>
      <c r="J102" s="77">
        <f>SUM(J100:J101)</f>
        <v>13425</v>
      </c>
      <c r="K102" s="109"/>
    </row>
    <row r="103" spans="1:11" customFormat="1" ht="21" customHeight="1">
      <c r="A103" s="68"/>
      <c r="B103" s="148"/>
      <c r="C103" s="149"/>
      <c r="D103" s="149"/>
      <c r="E103" s="149"/>
      <c r="F103" s="150" t="s">
        <v>44</v>
      </c>
      <c r="G103" s="69"/>
      <c r="H103" s="142"/>
      <c r="I103" s="70"/>
      <c r="J103" s="71">
        <f>J54+J82+J85+J88+J90+J95+J99+J102+J80+J64+J61</f>
        <v>218189.2</v>
      </c>
      <c r="K103" s="115"/>
    </row>
    <row r="104" spans="1:11" s="1" customFormat="1" ht="21" customHeight="1">
      <c r="A104" s="39">
        <v>23</v>
      </c>
      <c r="B104" s="60" t="s">
        <v>213</v>
      </c>
      <c r="C104" s="39" t="s">
        <v>5</v>
      </c>
      <c r="D104" s="39">
        <v>2210</v>
      </c>
      <c r="E104" s="39" t="s">
        <v>15</v>
      </c>
      <c r="F104" s="39" t="s">
        <v>402</v>
      </c>
      <c r="G104" s="39" t="s">
        <v>43</v>
      </c>
      <c r="H104" s="39">
        <f>1+2+2</f>
        <v>5</v>
      </c>
      <c r="I104" s="61"/>
      <c r="J104" s="43">
        <f>3940+700+350</f>
        <v>4990</v>
      </c>
      <c r="K104" s="116"/>
    </row>
    <row r="105" spans="1:11" s="1" customFormat="1" ht="21" customHeight="1">
      <c r="A105" s="39"/>
      <c r="B105" s="60"/>
      <c r="C105" s="39"/>
      <c r="D105" s="39">
        <v>2210</v>
      </c>
      <c r="E105" s="39">
        <v>1113</v>
      </c>
      <c r="F105" s="39" t="s">
        <v>403</v>
      </c>
      <c r="G105" s="39" t="s">
        <v>43</v>
      </c>
      <c r="H105" s="39">
        <v>1</v>
      </c>
      <c r="I105" s="61"/>
      <c r="J105" s="43">
        <v>1200</v>
      </c>
      <c r="K105" s="116"/>
    </row>
    <row r="106" spans="1:11" s="1" customFormat="1" ht="21" customHeight="1">
      <c r="A106" s="39"/>
      <c r="B106" s="60"/>
      <c r="C106" s="39"/>
      <c r="D106" s="39">
        <v>2210</v>
      </c>
      <c r="E106" s="39">
        <v>1113</v>
      </c>
      <c r="F106" s="39" t="s">
        <v>193</v>
      </c>
      <c r="G106" s="39" t="s">
        <v>43</v>
      </c>
      <c r="H106" s="39">
        <v>1</v>
      </c>
      <c r="I106" s="61"/>
      <c r="J106" s="43">
        <v>2700</v>
      </c>
      <c r="K106" s="116"/>
    </row>
    <row r="107" spans="1:11" s="1" customFormat="1" ht="21" customHeight="1">
      <c r="A107" s="39"/>
      <c r="B107" s="60"/>
      <c r="C107" s="39"/>
      <c r="D107" s="39">
        <v>2210</v>
      </c>
      <c r="E107" s="39">
        <v>1113</v>
      </c>
      <c r="F107" s="39" t="s">
        <v>404</v>
      </c>
      <c r="G107" s="39" t="s">
        <v>43</v>
      </c>
      <c r="H107" s="39">
        <f>1+3+1+1+1+1</f>
        <v>8</v>
      </c>
      <c r="I107" s="61"/>
      <c r="J107" s="43">
        <f>500+240+500+500+1000+400</f>
        <v>3140</v>
      </c>
      <c r="K107" s="116"/>
    </row>
    <row r="108" spans="1:11" s="1" customFormat="1" ht="21" customHeight="1">
      <c r="A108" s="39"/>
      <c r="B108" s="60"/>
      <c r="C108" s="39"/>
      <c r="D108" s="39">
        <v>2210</v>
      </c>
      <c r="E108" s="39">
        <v>1113</v>
      </c>
      <c r="F108" s="39" t="s">
        <v>405</v>
      </c>
      <c r="G108" s="39" t="s">
        <v>43</v>
      </c>
      <c r="H108" s="39">
        <f>1+3</f>
        <v>4</v>
      </c>
      <c r="I108" s="61"/>
      <c r="J108" s="43">
        <f>1050+1200</f>
        <v>2250</v>
      </c>
      <c r="K108" s="116"/>
    </row>
    <row r="109" spans="1:11" s="1" customFormat="1" ht="21" customHeight="1">
      <c r="A109" s="39"/>
      <c r="B109" s="60"/>
      <c r="C109" s="39"/>
      <c r="D109" s="39">
        <v>2210</v>
      </c>
      <c r="E109" s="39">
        <v>1113</v>
      </c>
      <c r="F109" s="39" t="s">
        <v>406</v>
      </c>
      <c r="G109" s="39" t="s">
        <v>43</v>
      </c>
      <c r="H109" s="39">
        <v>1</v>
      </c>
      <c r="I109" s="61"/>
      <c r="J109" s="43">
        <v>550</v>
      </c>
      <c r="K109" s="116"/>
    </row>
    <row r="110" spans="1:11" s="1" customFormat="1" ht="21" customHeight="1">
      <c r="A110" s="39"/>
      <c r="B110" s="60"/>
      <c r="C110" s="39"/>
      <c r="D110" s="39">
        <v>2210</v>
      </c>
      <c r="E110" s="39">
        <v>1113</v>
      </c>
      <c r="F110" s="39" t="s">
        <v>407</v>
      </c>
      <c r="G110" s="39" t="s">
        <v>43</v>
      </c>
      <c r="H110" s="39">
        <v>1</v>
      </c>
      <c r="I110" s="61"/>
      <c r="J110" s="43">
        <v>3650</v>
      </c>
      <c r="K110" s="116"/>
    </row>
    <row r="111" spans="1:11" s="1" customFormat="1" ht="21" customHeight="1">
      <c r="A111" s="39"/>
      <c r="B111" s="60"/>
      <c r="C111" s="39"/>
      <c r="D111" s="39">
        <v>2210</v>
      </c>
      <c r="E111" s="39">
        <v>1113</v>
      </c>
      <c r="F111" s="39" t="s">
        <v>37</v>
      </c>
      <c r="G111" s="39" t="s">
        <v>43</v>
      </c>
      <c r="H111" s="39">
        <v>2</v>
      </c>
      <c r="I111" s="61"/>
      <c r="J111" s="43">
        <v>1100</v>
      </c>
      <c r="K111" s="116"/>
    </row>
    <row r="112" spans="1:11" s="1" customFormat="1" ht="21" customHeight="1">
      <c r="A112" s="39"/>
      <c r="B112" s="60"/>
      <c r="C112" s="39"/>
      <c r="D112" s="39">
        <v>2210</v>
      </c>
      <c r="E112" s="39">
        <v>1113</v>
      </c>
      <c r="F112" s="39" t="s">
        <v>410</v>
      </c>
      <c r="G112" s="39" t="s">
        <v>43</v>
      </c>
      <c r="H112" s="39">
        <v>1</v>
      </c>
      <c r="I112" s="61"/>
      <c r="J112" s="43">
        <v>750</v>
      </c>
      <c r="K112" s="116"/>
    </row>
    <row r="113" spans="1:11" s="1" customFormat="1" ht="21" customHeight="1">
      <c r="A113" s="39"/>
      <c r="B113" s="60"/>
      <c r="C113" s="39"/>
      <c r="D113" s="39">
        <v>3110</v>
      </c>
      <c r="E113" s="39">
        <v>1014</v>
      </c>
      <c r="F113" s="39" t="s">
        <v>408</v>
      </c>
      <c r="G113" s="39" t="s">
        <v>43</v>
      </c>
      <c r="H113" s="39">
        <v>2</v>
      </c>
      <c r="I113" s="61"/>
      <c r="J113" s="43">
        <v>19400</v>
      </c>
      <c r="K113" s="116"/>
    </row>
    <row r="114" spans="1:11" s="1" customFormat="1" ht="21" customHeight="1">
      <c r="A114" s="39"/>
      <c r="B114" s="60"/>
      <c r="C114" s="39"/>
      <c r="D114" s="39">
        <v>3110</v>
      </c>
      <c r="E114" s="39">
        <v>1014</v>
      </c>
      <c r="F114" s="39" t="s">
        <v>409</v>
      </c>
      <c r="G114" s="39" t="s">
        <v>43</v>
      </c>
      <c r="H114" s="39">
        <v>1</v>
      </c>
      <c r="I114" s="61"/>
      <c r="J114" s="43">
        <v>9993</v>
      </c>
      <c r="K114" s="116"/>
    </row>
    <row r="115" spans="1:11" s="1" customFormat="1" ht="21" customHeight="1">
      <c r="A115" s="72"/>
      <c r="B115" s="89"/>
      <c r="C115" s="89"/>
      <c r="D115" s="89"/>
      <c r="E115" s="89"/>
      <c r="F115" s="75" t="s">
        <v>6</v>
      </c>
      <c r="G115" s="75"/>
      <c r="H115" s="75"/>
      <c r="I115" s="76"/>
      <c r="J115" s="77">
        <f>SUM(J104:J114)</f>
        <v>49723</v>
      </c>
      <c r="K115" s="117">
        <v>49723</v>
      </c>
    </row>
    <row r="116" spans="1:11" s="270" customFormat="1" ht="21" customHeight="1">
      <c r="A116" s="68"/>
      <c r="B116" s="519"/>
      <c r="C116" s="520"/>
      <c r="D116" s="520"/>
      <c r="E116" s="520"/>
      <c r="F116" s="521" t="s">
        <v>411</v>
      </c>
      <c r="G116" s="522"/>
      <c r="H116" s="522"/>
      <c r="I116" s="523"/>
      <c r="J116" s="71"/>
      <c r="K116" s="115"/>
    </row>
    <row r="117" spans="1:11" customFormat="1" ht="21.75" customHeight="1" thickBot="1">
      <c r="A117" s="68"/>
      <c r="B117" s="704" t="s">
        <v>94</v>
      </c>
      <c r="C117" s="705"/>
      <c r="D117" s="705"/>
      <c r="E117" s="705"/>
      <c r="F117" s="706"/>
      <c r="G117" s="91"/>
      <c r="H117" s="143"/>
      <c r="I117" s="92"/>
      <c r="J117" s="93">
        <f>J52+J103+J115</f>
        <v>363147.43000000005</v>
      </c>
      <c r="K117" s="102">
        <f>J115-K115</f>
        <v>0</v>
      </c>
    </row>
    <row r="118" spans="1:11" s="1" customFormat="1" ht="21.75" customHeight="1">
      <c r="A118" s="180"/>
      <c r="B118" s="181"/>
      <c r="C118" s="181"/>
      <c r="D118" s="181"/>
      <c r="E118" s="181"/>
      <c r="F118" s="181"/>
      <c r="G118" s="182"/>
      <c r="H118" s="181"/>
      <c r="I118" s="182"/>
      <c r="J118" s="183"/>
      <c r="K118" s="184"/>
    </row>
    <row r="119" spans="1:11" s="1" customFormat="1" ht="21.75" customHeight="1">
      <c r="A119" s="180"/>
      <c r="B119" s="181"/>
      <c r="C119" s="181"/>
      <c r="D119" s="181"/>
      <c r="E119" s="181"/>
      <c r="F119" s="181"/>
      <c r="G119" s="182"/>
      <c r="H119" s="181"/>
      <c r="I119" s="182"/>
      <c r="J119" s="183"/>
      <c r="K119" s="184"/>
    </row>
    <row r="120" spans="1:11" customFormat="1" ht="18.75">
      <c r="A120" s="62"/>
      <c r="B120" s="707" t="s">
        <v>305</v>
      </c>
      <c r="C120" s="707"/>
      <c r="D120" s="707"/>
      <c r="E120" s="63"/>
      <c r="F120" s="179"/>
      <c r="G120" s="63"/>
      <c r="H120" s="64"/>
      <c r="I120" s="63"/>
      <c r="J120" s="65"/>
      <c r="K120" s="118"/>
    </row>
    <row r="121" spans="1:11" customFormat="1" ht="18.75">
      <c r="A121" s="62"/>
      <c r="B121" s="707" t="s">
        <v>451</v>
      </c>
      <c r="C121" s="707"/>
      <c r="D121" s="707"/>
      <c r="E121" s="707"/>
      <c r="F121" s="66"/>
      <c r="G121" s="63"/>
      <c r="H121" s="64"/>
      <c r="I121" s="63"/>
      <c r="J121" s="65"/>
      <c r="K121" s="118"/>
    </row>
    <row r="122" spans="1:11" ht="18.75">
      <c r="A122" s="25"/>
      <c r="B122" s="26"/>
      <c r="C122" s="26"/>
      <c r="D122" s="26"/>
      <c r="E122" s="26"/>
      <c r="F122" s="26"/>
      <c r="G122" s="26"/>
      <c r="H122" s="26"/>
      <c r="I122" s="27"/>
      <c r="J122" s="26"/>
      <c r="K122" s="119"/>
    </row>
    <row r="123" spans="1:11" ht="18.75">
      <c r="A123" s="25"/>
      <c r="B123" s="26"/>
      <c r="C123" s="26"/>
      <c r="D123" s="26"/>
      <c r="E123" s="26"/>
      <c r="F123" s="26"/>
      <c r="G123" s="26"/>
      <c r="H123" s="26"/>
      <c r="I123" s="27"/>
      <c r="J123" s="26"/>
      <c r="K123" s="119"/>
    </row>
    <row r="124" spans="1:11" ht="18.75">
      <c r="A124" s="25"/>
      <c r="B124" s="26"/>
      <c r="C124" s="26"/>
      <c r="D124" s="26"/>
      <c r="E124" s="26"/>
      <c r="F124" s="26"/>
      <c r="G124" s="26"/>
      <c r="H124" s="26"/>
      <c r="I124" s="27"/>
      <c r="J124" s="26"/>
      <c r="K124" s="119"/>
    </row>
    <row r="125" spans="1:11" ht="18.75">
      <c r="A125" s="25"/>
      <c r="B125" s="25"/>
      <c r="C125" s="25"/>
      <c r="D125" s="25"/>
      <c r="E125" s="25"/>
      <c r="F125" s="26"/>
      <c r="G125" s="25"/>
      <c r="H125" s="26"/>
      <c r="I125" s="30"/>
      <c r="J125" s="25"/>
      <c r="K125" s="120"/>
    </row>
    <row r="126" spans="1:11" ht="18.75">
      <c r="A126" s="25"/>
      <c r="B126" s="25"/>
      <c r="C126" s="25"/>
      <c r="D126" s="25"/>
      <c r="E126" s="25"/>
      <c r="F126" s="26"/>
      <c r="G126" s="25"/>
      <c r="H126" s="26"/>
      <c r="I126" s="30"/>
      <c r="J126" s="25"/>
      <c r="K126" s="120"/>
    </row>
    <row r="127" spans="1:11" ht="18.75">
      <c r="A127" s="25"/>
      <c r="B127" s="25"/>
      <c r="C127" s="25"/>
      <c r="D127" s="25"/>
      <c r="E127" s="25"/>
      <c r="F127" s="26"/>
      <c r="G127" s="25"/>
      <c r="H127" s="26"/>
      <c r="I127" s="30"/>
      <c r="J127" s="25"/>
      <c r="K127" s="120"/>
    </row>
    <row r="128" spans="1:11" ht="18.75">
      <c r="A128" s="24"/>
      <c r="B128" s="24"/>
      <c r="C128" s="24"/>
      <c r="D128" s="24"/>
      <c r="E128" s="24"/>
      <c r="F128" s="144"/>
      <c r="G128" s="24"/>
      <c r="H128" s="144"/>
      <c r="I128" s="33"/>
      <c r="J128" s="24"/>
    </row>
    <row r="129" spans="1:10" ht="18.75">
      <c r="A129" s="24"/>
      <c r="B129" s="24"/>
      <c r="C129" s="24"/>
      <c r="D129" s="24"/>
      <c r="E129" s="24"/>
      <c r="F129" s="144"/>
      <c r="G129" s="24"/>
      <c r="H129" s="144"/>
      <c r="I129" s="33"/>
      <c r="J129" s="24"/>
    </row>
    <row r="130" spans="1:10" ht="18.75">
      <c r="A130" s="24"/>
      <c r="B130" s="24"/>
      <c r="C130" s="24"/>
      <c r="D130" s="24"/>
      <c r="E130" s="24"/>
      <c r="F130" s="144"/>
      <c r="G130" s="24"/>
      <c r="H130" s="144"/>
      <c r="I130" s="33"/>
      <c r="J130" s="24"/>
    </row>
    <row r="131" spans="1:10" ht="18.75">
      <c r="A131" s="24"/>
      <c r="B131" s="24"/>
      <c r="C131" s="24"/>
      <c r="D131" s="24"/>
      <c r="E131" s="24"/>
      <c r="F131" s="144"/>
      <c r="G131" s="24"/>
      <c r="H131" s="144"/>
      <c r="I131" s="33"/>
      <c r="J131" s="24"/>
    </row>
    <row r="132" spans="1:10" ht="18.75">
      <c r="A132" s="24"/>
      <c r="B132" s="24"/>
      <c r="C132" s="24"/>
      <c r="D132" s="24"/>
      <c r="E132" s="24"/>
      <c r="F132" s="144"/>
      <c r="G132" s="24"/>
      <c r="H132" s="144"/>
      <c r="I132" s="33"/>
      <c r="J132" s="24"/>
    </row>
    <row r="133" spans="1:10" ht="18.75">
      <c r="A133" s="24"/>
      <c r="B133" s="24"/>
      <c r="C133" s="24"/>
      <c r="D133" s="24"/>
      <c r="E133" s="24"/>
      <c r="F133" s="144"/>
      <c r="G133" s="24"/>
      <c r="H133" s="144"/>
      <c r="I133" s="33"/>
      <c r="J133" s="24"/>
    </row>
    <row r="134" spans="1:10" ht="18.75">
      <c r="A134" s="24"/>
      <c r="B134" s="24"/>
      <c r="C134" s="24"/>
      <c r="D134" s="24"/>
      <c r="E134" s="24"/>
      <c r="F134" s="144"/>
      <c r="G134" s="24"/>
      <c r="H134" s="144"/>
      <c r="I134" s="33"/>
      <c r="J134" s="24"/>
    </row>
    <row r="135" spans="1:10" ht="18.75">
      <c r="A135" s="24"/>
      <c r="B135" s="24"/>
      <c r="C135" s="24"/>
      <c r="D135" s="24"/>
      <c r="E135" s="24"/>
      <c r="F135" s="144"/>
      <c r="G135" s="24"/>
      <c r="H135" s="144"/>
      <c r="I135" s="33"/>
      <c r="J135" s="24"/>
    </row>
    <row r="136" spans="1:10" ht="18.75">
      <c r="A136" s="24"/>
      <c r="B136" s="24"/>
      <c r="C136" s="24"/>
      <c r="D136" s="24"/>
      <c r="E136" s="24"/>
      <c r="F136" s="144"/>
      <c r="G136" s="24"/>
      <c r="H136" s="144"/>
      <c r="I136" s="33"/>
      <c r="J136" s="24"/>
    </row>
    <row r="137" spans="1:10" ht="18.75">
      <c r="A137" s="24"/>
      <c r="B137" s="24"/>
      <c r="C137" s="24"/>
      <c r="D137" s="24"/>
      <c r="E137" s="24"/>
      <c r="F137" s="144"/>
      <c r="G137" s="24"/>
      <c r="H137" s="144"/>
      <c r="I137" s="33"/>
      <c r="J137" s="24"/>
    </row>
    <row r="138" spans="1:10" ht="18.75">
      <c r="A138" s="24"/>
      <c r="B138" s="24"/>
      <c r="C138" s="24"/>
      <c r="D138" s="24"/>
      <c r="E138" s="24"/>
      <c r="F138" s="144"/>
      <c r="G138" s="24"/>
      <c r="H138" s="144"/>
      <c r="I138" s="33"/>
      <c r="J138" s="24"/>
    </row>
    <row r="139" spans="1:10" ht="18.75">
      <c r="A139" s="24"/>
      <c r="B139" s="24"/>
      <c r="C139" s="24"/>
      <c r="D139" s="24"/>
      <c r="E139" s="24"/>
      <c r="F139" s="144"/>
      <c r="G139" s="24"/>
      <c r="H139" s="144"/>
      <c r="I139" s="33"/>
      <c r="J139" s="24"/>
    </row>
    <row r="140" spans="1:10" ht="18.75">
      <c r="A140" s="24"/>
      <c r="B140" s="24"/>
      <c r="C140" s="24"/>
      <c r="D140" s="24"/>
      <c r="E140" s="24"/>
      <c r="F140" s="144"/>
      <c r="G140" s="24"/>
      <c r="H140" s="144"/>
      <c r="I140" s="33"/>
      <c r="J140" s="24"/>
    </row>
    <row r="141" spans="1:10" ht="18.75">
      <c r="A141" s="24"/>
      <c r="B141" s="24"/>
      <c r="C141" s="24"/>
      <c r="D141" s="24"/>
      <c r="E141" s="24"/>
      <c r="F141" s="144"/>
      <c r="G141" s="24"/>
      <c r="H141" s="144"/>
      <c r="I141" s="33"/>
      <c r="J141" s="24"/>
    </row>
    <row r="142" spans="1:10" ht="18.75">
      <c r="A142" s="24"/>
      <c r="B142" s="24"/>
      <c r="C142" s="24"/>
      <c r="D142" s="24"/>
      <c r="E142" s="24"/>
      <c r="F142" s="144"/>
      <c r="G142" s="24"/>
      <c r="H142" s="144"/>
      <c r="I142" s="33"/>
      <c r="J142" s="24"/>
    </row>
    <row r="143" spans="1:10" ht="18.75">
      <c r="A143" s="24"/>
      <c r="B143" s="24"/>
      <c r="C143" s="24"/>
      <c r="D143" s="24"/>
      <c r="E143" s="24"/>
      <c r="F143" s="144"/>
      <c r="G143" s="24"/>
      <c r="H143" s="144"/>
      <c r="I143" s="33"/>
      <c r="J143" s="24"/>
    </row>
    <row r="144" spans="1:10" ht="18.75">
      <c r="A144" s="24"/>
      <c r="B144" s="24"/>
      <c r="C144" s="24"/>
      <c r="D144" s="24"/>
      <c r="E144" s="24"/>
      <c r="F144" s="144"/>
      <c r="G144" s="24"/>
      <c r="H144" s="144"/>
      <c r="I144" s="33"/>
      <c r="J144" s="24"/>
    </row>
  </sheetData>
  <mergeCells count="9">
    <mergeCell ref="C67:C78"/>
    <mergeCell ref="A1:J1"/>
    <mergeCell ref="A52:I52"/>
    <mergeCell ref="B121:E121"/>
    <mergeCell ref="B120:D120"/>
    <mergeCell ref="C96:C98"/>
    <mergeCell ref="C100:C101"/>
    <mergeCell ref="B117:F117"/>
    <mergeCell ref="C62:C63"/>
  </mergeCells>
  <phoneticPr fontId="21" type="noConversion"/>
  <pageMargins left="0.31496062992125984" right="0.16" top="0.6" bottom="0.31496062992125984" header="0.55000000000000004" footer="0.31496062992125984"/>
  <pageSetup paperSize="9" scale="50" orientation="portrait" horizontalDpi="180" verticalDpi="180" r:id="rId1"/>
  <rowBreaks count="1" manualBreakCount="1">
    <brk id="52" max="9" man="1"/>
  </rowBreaks>
  <ignoredErrors>
    <ignoredError sqref="J2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 enableFormatConditionsCalculation="0">
    <tabColor indexed="14"/>
  </sheetPr>
  <dimension ref="A1:Q69"/>
  <sheetViews>
    <sheetView view="pageBreakPreview" topLeftCell="A10" zoomScale="60" zoomScaleNormal="75" workbookViewId="0">
      <selection activeCell="F67" sqref="F67"/>
    </sheetView>
  </sheetViews>
  <sheetFormatPr defaultRowHeight="20.25"/>
  <cols>
    <col min="1" max="1" width="6.7109375" style="534" customWidth="1"/>
    <col min="2" max="2" width="16.28515625" style="534" customWidth="1"/>
    <col min="3" max="3" width="19.140625" style="534" customWidth="1"/>
    <col min="4" max="4" width="10.28515625" style="534" customWidth="1"/>
    <col min="5" max="5" width="14" style="534" customWidth="1"/>
    <col min="6" max="6" width="73.85546875" style="636" customWidth="1"/>
    <col min="7" max="7" width="14.140625" style="534" customWidth="1"/>
    <col min="8" max="8" width="11.5703125" style="636" customWidth="1"/>
    <col min="9" max="9" width="13.140625" style="644" customWidth="1"/>
    <col min="10" max="10" width="21.140625" style="534" customWidth="1"/>
    <col min="11" max="11" width="21" style="534" customWidth="1"/>
    <col min="12" max="12" width="10.7109375" style="534" bestFit="1" customWidth="1"/>
    <col min="13" max="16384" width="9.140625" style="534"/>
  </cols>
  <sheetData>
    <row r="1" spans="1:11" ht="29.25" customHeight="1" thickBot="1">
      <c r="A1" s="692" t="s">
        <v>485</v>
      </c>
      <c r="B1" s="692"/>
      <c r="C1" s="692"/>
      <c r="D1" s="692"/>
      <c r="E1" s="692"/>
      <c r="F1" s="692"/>
      <c r="G1" s="692"/>
      <c r="H1" s="692"/>
      <c r="I1" s="692"/>
      <c r="J1" s="692"/>
      <c r="K1" s="539"/>
    </row>
    <row r="2" spans="1:11" ht="40.5" customHeight="1" thickBot="1">
      <c r="A2" s="529" t="s">
        <v>0</v>
      </c>
      <c r="B2" s="530" t="s">
        <v>1</v>
      </c>
      <c r="C2" s="530" t="s">
        <v>96</v>
      </c>
      <c r="D2" s="530" t="s">
        <v>2</v>
      </c>
      <c r="E2" s="530" t="s">
        <v>95</v>
      </c>
      <c r="F2" s="530" t="s">
        <v>3</v>
      </c>
      <c r="G2" s="531" t="s">
        <v>97</v>
      </c>
      <c r="H2" s="530" t="s">
        <v>4</v>
      </c>
      <c r="I2" s="532" t="s">
        <v>98</v>
      </c>
      <c r="J2" s="530" t="s">
        <v>99</v>
      </c>
      <c r="K2" s="533"/>
    </row>
    <row r="3" spans="1:11" ht="29.25" customHeight="1">
      <c r="A3" s="545">
        <v>2</v>
      </c>
      <c r="B3" s="545" t="s">
        <v>101</v>
      </c>
      <c r="C3" s="545" t="s">
        <v>5</v>
      </c>
      <c r="D3" s="545">
        <v>2210</v>
      </c>
      <c r="E3" s="545" t="s">
        <v>15</v>
      </c>
      <c r="F3" s="647" t="s">
        <v>103</v>
      </c>
      <c r="G3" s="545" t="s">
        <v>13</v>
      </c>
      <c r="H3" s="546">
        <v>9</v>
      </c>
      <c r="I3" s="547"/>
      <c r="J3" s="548">
        <v>150</v>
      </c>
      <c r="K3" s="549"/>
    </row>
    <row r="4" spans="1:11" ht="21" customHeight="1">
      <c r="A4" s="550"/>
      <c r="B4" s="550"/>
      <c r="C4" s="550"/>
      <c r="D4" s="550"/>
      <c r="E4" s="550"/>
      <c r="F4" s="648" t="s">
        <v>105</v>
      </c>
      <c r="G4" s="550"/>
      <c r="H4" s="551"/>
      <c r="I4" s="552"/>
      <c r="J4" s="553">
        <f>SUM(J3)</f>
        <v>150</v>
      </c>
      <c r="K4" s="554"/>
    </row>
    <row r="5" spans="1:11" ht="21" customHeight="1">
      <c r="A5" s="535">
        <v>5</v>
      </c>
      <c r="B5" s="535" t="s">
        <v>109</v>
      </c>
      <c r="C5" s="535" t="s">
        <v>5</v>
      </c>
      <c r="D5" s="535">
        <v>2210</v>
      </c>
      <c r="E5" s="535" t="s">
        <v>15</v>
      </c>
      <c r="F5" s="649" t="s">
        <v>108</v>
      </c>
      <c r="G5" s="535" t="s">
        <v>11</v>
      </c>
      <c r="H5" s="559">
        <v>35</v>
      </c>
      <c r="I5" s="537"/>
      <c r="J5" s="537">
        <v>512.79999999999995</v>
      </c>
      <c r="K5" s="560"/>
    </row>
    <row r="6" spans="1:11" ht="21" customHeight="1">
      <c r="A6" s="535"/>
      <c r="B6" s="535"/>
      <c r="C6" s="535"/>
      <c r="D6" s="535">
        <v>2210</v>
      </c>
      <c r="E6" s="535" t="s">
        <v>19</v>
      </c>
      <c r="F6" s="645" t="s">
        <v>30</v>
      </c>
      <c r="G6" s="535" t="s">
        <v>144</v>
      </c>
      <c r="H6" s="559">
        <v>8</v>
      </c>
      <c r="I6" s="537"/>
      <c r="J6" s="537">
        <v>169.8</v>
      </c>
      <c r="K6" s="560"/>
    </row>
    <row r="7" spans="1:11" ht="21" customHeight="1">
      <c r="A7" s="535"/>
      <c r="B7" s="535"/>
      <c r="C7" s="535"/>
      <c r="D7" s="535">
        <v>2210</v>
      </c>
      <c r="E7" s="535">
        <v>1113</v>
      </c>
      <c r="F7" s="645" t="s">
        <v>452</v>
      </c>
      <c r="G7" s="535" t="s">
        <v>43</v>
      </c>
      <c r="H7" s="538">
        <v>1</v>
      </c>
      <c r="I7" s="537"/>
      <c r="J7" s="537">
        <v>350</v>
      </c>
      <c r="K7" s="537"/>
    </row>
    <row r="8" spans="1:11" ht="21" customHeight="1">
      <c r="A8" s="535"/>
      <c r="B8" s="535"/>
      <c r="C8" s="535"/>
      <c r="D8" s="535">
        <v>2210</v>
      </c>
      <c r="E8" s="535">
        <v>1113</v>
      </c>
      <c r="F8" s="645" t="s">
        <v>453</v>
      </c>
      <c r="G8" s="535" t="s">
        <v>43</v>
      </c>
      <c r="H8" s="538">
        <v>1</v>
      </c>
      <c r="I8" s="537"/>
      <c r="J8" s="537">
        <v>300</v>
      </c>
      <c r="K8" s="537"/>
    </row>
    <row r="9" spans="1:11" ht="21" customHeight="1">
      <c r="A9" s="535"/>
      <c r="B9" s="535"/>
      <c r="C9" s="535"/>
      <c r="D9" s="535">
        <v>2210</v>
      </c>
      <c r="E9" s="535">
        <v>1113</v>
      </c>
      <c r="F9" s="645" t="s">
        <v>454</v>
      </c>
      <c r="G9" s="535" t="s">
        <v>43</v>
      </c>
      <c r="H9" s="538">
        <v>1</v>
      </c>
      <c r="I9" s="537"/>
      <c r="J9" s="537">
        <v>270</v>
      </c>
      <c r="K9" s="537"/>
    </row>
    <row r="10" spans="1:11" s="556" customFormat="1" ht="21" customHeight="1">
      <c r="A10" s="540"/>
      <c r="B10" s="540"/>
      <c r="C10" s="540"/>
      <c r="D10" s="540"/>
      <c r="E10" s="540"/>
      <c r="F10" s="646" t="s">
        <v>6</v>
      </c>
      <c r="G10" s="540"/>
      <c r="H10" s="561"/>
      <c r="I10" s="543"/>
      <c r="J10" s="544">
        <f>SUM(J5:J9)</f>
        <v>1602.6</v>
      </c>
      <c r="K10" s="543"/>
    </row>
    <row r="11" spans="1:11" ht="21" customHeight="1">
      <c r="A11" s="535">
        <v>6</v>
      </c>
      <c r="B11" s="535" t="s">
        <v>7</v>
      </c>
      <c r="C11" s="535" t="s">
        <v>5</v>
      </c>
      <c r="D11" s="535">
        <v>2210</v>
      </c>
      <c r="E11" s="535" t="s">
        <v>19</v>
      </c>
      <c r="F11" s="645" t="s">
        <v>31</v>
      </c>
      <c r="G11" s="535" t="s">
        <v>11</v>
      </c>
      <c r="H11" s="536" t="s">
        <v>455</v>
      </c>
      <c r="I11" s="537"/>
      <c r="J11" s="537">
        <v>288</v>
      </c>
      <c r="K11" s="560"/>
    </row>
    <row r="12" spans="1:11" ht="21" customHeight="1">
      <c r="A12" s="535"/>
      <c r="B12" s="535"/>
      <c r="C12" s="535"/>
      <c r="D12" s="535">
        <v>2210</v>
      </c>
      <c r="E12" s="535" t="s">
        <v>15</v>
      </c>
      <c r="F12" s="645" t="s">
        <v>307</v>
      </c>
      <c r="G12" s="535" t="s">
        <v>43</v>
      </c>
      <c r="H12" s="536" t="s">
        <v>134</v>
      </c>
      <c r="I12" s="537"/>
      <c r="J12" s="537">
        <v>180</v>
      </c>
      <c r="K12" s="560"/>
    </row>
    <row r="13" spans="1:11" ht="21" customHeight="1">
      <c r="A13" s="535"/>
      <c r="B13" s="535"/>
      <c r="C13" s="535"/>
      <c r="D13" s="535">
        <v>2210</v>
      </c>
      <c r="E13" s="535">
        <v>1114</v>
      </c>
      <c r="F13" s="645" t="s">
        <v>456</v>
      </c>
      <c r="G13" s="535" t="s">
        <v>43</v>
      </c>
      <c r="H13" s="562" t="s">
        <v>110</v>
      </c>
      <c r="I13" s="563"/>
      <c r="J13" s="563">
        <v>1600</v>
      </c>
      <c r="K13" s="560"/>
    </row>
    <row r="14" spans="1:11" ht="21" customHeight="1">
      <c r="A14" s="535"/>
      <c r="B14" s="535"/>
      <c r="C14" s="535"/>
      <c r="D14" s="535">
        <v>2220</v>
      </c>
      <c r="E14" s="535">
        <v>1512</v>
      </c>
      <c r="F14" s="645" t="s">
        <v>185</v>
      </c>
      <c r="G14" s="535" t="s">
        <v>13</v>
      </c>
      <c r="H14" s="536" t="s">
        <v>321</v>
      </c>
      <c r="I14" s="537"/>
      <c r="J14" s="537">
        <v>1050</v>
      </c>
      <c r="K14" s="560"/>
    </row>
    <row r="15" spans="1:11" ht="21" customHeight="1">
      <c r="A15" s="535"/>
      <c r="B15" s="535"/>
      <c r="C15" s="535" t="s">
        <v>457</v>
      </c>
      <c r="D15" s="535">
        <v>2210</v>
      </c>
      <c r="E15" s="535">
        <v>1518</v>
      </c>
      <c r="F15" s="645" t="s">
        <v>458</v>
      </c>
      <c r="G15" s="535" t="s">
        <v>43</v>
      </c>
      <c r="H15" s="536" t="s">
        <v>321</v>
      </c>
      <c r="I15" s="537"/>
      <c r="J15" s="537">
        <v>250</v>
      </c>
      <c r="K15" s="560"/>
    </row>
    <row r="16" spans="1:11" s="556" customFormat="1" ht="21" customHeight="1">
      <c r="A16" s="540"/>
      <c r="B16" s="540"/>
      <c r="C16" s="540"/>
      <c r="D16" s="540"/>
      <c r="E16" s="540"/>
      <c r="F16" s="541" t="s">
        <v>6</v>
      </c>
      <c r="G16" s="540"/>
      <c r="H16" s="561"/>
      <c r="I16" s="543"/>
      <c r="J16" s="544">
        <f>SUM(J11:J15)</f>
        <v>3368</v>
      </c>
      <c r="K16" s="543"/>
    </row>
    <row r="17" spans="1:11" s="556" customFormat="1" ht="43.5" customHeight="1">
      <c r="A17" s="545">
        <v>7</v>
      </c>
      <c r="B17" s="545" t="s">
        <v>459</v>
      </c>
      <c r="C17" s="545" t="s">
        <v>5</v>
      </c>
      <c r="D17" s="545">
        <v>2210</v>
      </c>
      <c r="E17" s="545" t="s">
        <v>15</v>
      </c>
      <c r="F17" s="650" t="s">
        <v>462</v>
      </c>
      <c r="G17" s="545" t="s">
        <v>460</v>
      </c>
      <c r="H17" s="564" t="s">
        <v>463</v>
      </c>
      <c r="I17" s="547"/>
      <c r="J17" s="555">
        <v>9420</v>
      </c>
      <c r="K17" s="549"/>
    </row>
    <row r="18" spans="1:11" s="556" customFormat="1" ht="21" customHeight="1">
      <c r="A18" s="545"/>
      <c r="B18" s="545"/>
      <c r="C18" s="545"/>
      <c r="D18" s="545">
        <v>2210</v>
      </c>
      <c r="E18" s="545" t="s">
        <v>15</v>
      </c>
      <c r="F18" s="545" t="s">
        <v>461</v>
      </c>
      <c r="G18" s="545" t="s">
        <v>43</v>
      </c>
      <c r="H18" s="564" t="s">
        <v>49</v>
      </c>
      <c r="I18" s="547"/>
      <c r="J18" s="555">
        <v>370</v>
      </c>
      <c r="K18" s="549"/>
    </row>
    <row r="19" spans="1:11" s="556" customFormat="1" ht="21" customHeight="1">
      <c r="A19" s="545"/>
      <c r="B19" s="545"/>
      <c r="C19" s="545"/>
      <c r="D19" s="545">
        <v>2210</v>
      </c>
      <c r="E19" s="545">
        <v>1113</v>
      </c>
      <c r="F19" s="545" t="s">
        <v>184</v>
      </c>
      <c r="G19" s="545" t="s">
        <v>43</v>
      </c>
      <c r="H19" s="564" t="s">
        <v>49</v>
      </c>
      <c r="I19" s="547"/>
      <c r="J19" s="555">
        <v>4983</v>
      </c>
      <c r="K19" s="549"/>
    </row>
    <row r="20" spans="1:11" s="556" customFormat="1" ht="21" customHeight="1">
      <c r="A20" s="545"/>
      <c r="B20" s="545"/>
      <c r="C20" s="545"/>
      <c r="D20" s="545">
        <v>2210</v>
      </c>
      <c r="E20" s="545">
        <v>1113</v>
      </c>
      <c r="F20" s="545" t="s">
        <v>246</v>
      </c>
      <c r="G20" s="545" t="s">
        <v>43</v>
      </c>
      <c r="H20" s="564" t="s">
        <v>49</v>
      </c>
      <c r="I20" s="547"/>
      <c r="J20" s="555">
        <v>135</v>
      </c>
      <c r="K20" s="549"/>
    </row>
    <row r="21" spans="1:11" s="556" customFormat="1" ht="21" customHeight="1">
      <c r="A21" s="545"/>
      <c r="B21" s="545"/>
      <c r="C21" s="545"/>
      <c r="D21" s="545">
        <v>2210</v>
      </c>
      <c r="E21" s="545">
        <v>1113</v>
      </c>
      <c r="F21" s="545" t="s">
        <v>464</v>
      </c>
      <c r="G21" s="545" t="s">
        <v>43</v>
      </c>
      <c r="H21" s="564" t="s">
        <v>49</v>
      </c>
      <c r="I21" s="547"/>
      <c r="J21" s="555">
        <v>4290</v>
      </c>
      <c r="K21" s="549"/>
    </row>
    <row r="22" spans="1:11" s="556" customFormat="1" ht="21" customHeight="1">
      <c r="A22" s="540"/>
      <c r="B22" s="540"/>
      <c r="C22" s="540"/>
      <c r="D22" s="540"/>
      <c r="E22" s="540">
        <v>1113</v>
      </c>
      <c r="F22" s="541" t="s">
        <v>6</v>
      </c>
      <c r="G22" s="540"/>
      <c r="H22" s="561"/>
      <c r="I22" s="543"/>
      <c r="J22" s="544">
        <f>SUM(J17:J21)</f>
        <v>19198</v>
      </c>
      <c r="K22" s="557"/>
    </row>
    <row r="23" spans="1:11" ht="21" customHeight="1">
      <c r="A23" s="535">
        <v>9</v>
      </c>
      <c r="B23" s="535" t="s">
        <v>9</v>
      </c>
      <c r="C23" s="535" t="s">
        <v>5</v>
      </c>
      <c r="D23" s="535">
        <v>2210</v>
      </c>
      <c r="E23" s="535" t="s">
        <v>19</v>
      </c>
      <c r="F23" s="535" t="s">
        <v>113</v>
      </c>
      <c r="G23" s="535" t="s">
        <v>11</v>
      </c>
      <c r="H23" s="559">
        <v>24</v>
      </c>
      <c r="I23" s="537"/>
      <c r="J23" s="537">
        <v>96</v>
      </c>
      <c r="K23" s="560"/>
    </row>
    <row r="24" spans="1:11" ht="21" customHeight="1">
      <c r="A24" s="535"/>
      <c r="B24" s="535"/>
      <c r="C24" s="535"/>
      <c r="D24" s="535">
        <v>2210</v>
      </c>
      <c r="E24" s="535" t="s">
        <v>15</v>
      </c>
      <c r="F24" s="535" t="s">
        <v>50</v>
      </c>
      <c r="G24" s="535" t="s">
        <v>43</v>
      </c>
      <c r="H24" s="559">
        <v>22</v>
      </c>
      <c r="I24" s="537"/>
      <c r="J24" s="537">
        <v>240</v>
      </c>
      <c r="K24" s="560"/>
    </row>
    <row r="25" spans="1:11" ht="21" customHeight="1">
      <c r="A25" s="535"/>
      <c r="B25" s="535"/>
      <c r="C25" s="535"/>
      <c r="D25" s="535">
        <v>2220</v>
      </c>
      <c r="E25" s="535">
        <v>1512</v>
      </c>
      <c r="F25" s="535" t="s">
        <v>32</v>
      </c>
      <c r="G25" s="535" t="s">
        <v>13</v>
      </c>
      <c r="H25" s="538">
        <v>2</v>
      </c>
      <c r="I25" s="538">
        <v>300</v>
      </c>
      <c r="J25" s="537">
        <v>600</v>
      </c>
      <c r="K25" s="560"/>
    </row>
    <row r="26" spans="1:11" s="556" customFormat="1" ht="21" customHeight="1">
      <c r="A26" s="540"/>
      <c r="B26" s="540"/>
      <c r="C26" s="540"/>
      <c r="D26" s="540"/>
      <c r="E26" s="540"/>
      <c r="F26" s="541" t="s">
        <v>6</v>
      </c>
      <c r="G26" s="540"/>
      <c r="H26" s="566"/>
      <c r="I26" s="543"/>
      <c r="J26" s="544">
        <f>SUM(J23:J25)</f>
        <v>936</v>
      </c>
      <c r="K26" s="567"/>
    </row>
    <row r="27" spans="1:11" s="569" customFormat="1" ht="21" customHeight="1">
      <c r="A27" s="545">
        <v>10</v>
      </c>
      <c r="B27" s="545" t="s">
        <v>10</v>
      </c>
      <c r="C27" s="545" t="s">
        <v>5</v>
      </c>
      <c r="D27" s="545">
        <v>2210</v>
      </c>
      <c r="E27" s="545">
        <v>1113</v>
      </c>
      <c r="F27" s="545" t="s">
        <v>466</v>
      </c>
      <c r="G27" s="545" t="s">
        <v>11</v>
      </c>
      <c r="H27" s="568">
        <v>1</v>
      </c>
      <c r="I27" s="547"/>
      <c r="J27" s="547">
        <v>5850</v>
      </c>
      <c r="K27" s="549"/>
    </row>
    <row r="28" spans="1:11" ht="21" customHeight="1">
      <c r="A28" s="535"/>
      <c r="B28" s="535"/>
      <c r="C28" s="535"/>
      <c r="D28" s="535">
        <v>2210</v>
      </c>
      <c r="E28" s="535">
        <v>113</v>
      </c>
      <c r="F28" s="535" t="s">
        <v>467</v>
      </c>
      <c r="G28" s="535" t="s">
        <v>11</v>
      </c>
      <c r="H28" s="559">
        <v>1</v>
      </c>
      <c r="I28" s="563"/>
      <c r="J28" s="537">
        <v>5483</v>
      </c>
      <c r="K28" s="560"/>
    </row>
    <row r="29" spans="1:11" ht="21" customHeight="1">
      <c r="A29" s="535"/>
      <c r="B29" s="535"/>
      <c r="C29" s="535"/>
      <c r="D29" s="535">
        <v>2210</v>
      </c>
      <c r="E29" s="535" t="s">
        <v>19</v>
      </c>
      <c r="F29" s="535" t="s">
        <v>465</v>
      </c>
      <c r="G29" s="535" t="s">
        <v>11</v>
      </c>
      <c r="H29" s="559">
        <v>100</v>
      </c>
      <c r="I29" s="538"/>
      <c r="J29" s="537">
        <v>860</v>
      </c>
      <c r="K29" s="570"/>
    </row>
    <row r="30" spans="1:11" s="556" customFormat="1" ht="21" customHeight="1">
      <c r="A30" s="540"/>
      <c r="B30" s="540"/>
      <c r="C30" s="540"/>
      <c r="D30" s="540"/>
      <c r="E30" s="540"/>
      <c r="F30" s="541" t="s">
        <v>6</v>
      </c>
      <c r="G30" s="540"/>
      <c r="H30" s="566"/>
      <c r="I30" s="543"/>
      <c r="J30" s="544">
        <f>SUM(J27:J29)</f>
        <v>12193</v>
      </c>
      <c r="K30" s="571"/>
    </row>
    <row r="31" spans="1:11" s="556" customFormat="1" ht="21" customHeight="1">
      <c r="A31" s="545">
        <v>11</v>
      </c>
      <c r="B31" s="545" t="s">
        <v>206</v>
      </c>
      <c r="C31" s="545" t="s">
        <v>471</v>
      </c>
      <c r="D31" s="545">
        <v>2210</v>
      </c>
      <c r="E31" s="545">
        <v>1518</v>
      </c>
      <c r="F31" s="545" t="s">
        <v>468</v>
      </c>
      <c r="G31" s="545" t="s">
        <v>11</v>
      </c>
      <c r="H31" s="572">
        <v>10</v>
      </c>
      <c r="I31" s="563"/>
      <c r="J31" s="563">
        <v>500</v>
      </c>
      <c r="K31" s="573"/>
    </row>
    <row r="32" spans="1:11" s="556" customFormat="1" ht="21" customHeight="1">
      <c r="A32" s="545"/>
      <c r="B32" s="545"/>
      <c r="C32" s="545" t="s">
        <v>5</v>
      </c>
      <c r="D32" s="545">
        <v>2220</v>
      </c>
      <c r="E32" s="545">
        <v>1512</v>
      </c>
      <c r="F32" s="545" t="s">
        <v>469</v>
      </c>
      <c r="G32" s="545" t="s">
        <v>13</v>
      </c>
      <c r="H32" s="572">
        <v>7</v>
      </c>
      <c r="I32" s="563"/>
      <c r="J32" s="563">
        <v>560</v>
      </c>
      <c r="K32" s="573"/>
    </row>
    <row r="33" spans="1:17" s="556" customFormat="1" ht="21" customHeight="1">
      <c r="A33" s="550"/>
      <c r="B33" s="550"/>
      <c r="C33" s="550"/>
      <c r="D33" s="550"/>
      <c r="E33" s="550"/>
      <c r="F33" s="574" t="s">
        <v>6</v>
      </c>
      <c r="G33" s="550"/>
      <c r="H33" s="575"/>
      <c r="I33" s="552"/>
      <c r="J33" s="553">
        <f>SUM(J31:J32)</f>
        <v>1060</v>
      </c>
      <c r="K33" s="576"/>
    </row>
    <row r="34" spans="1:17" s="569" customFormat="1" ht="21" customHeight="1">
      <c r="A34" s="545"/>
      <c r="B34" s="545" t="s">
        <v>470</v>
      </c>
      <c r="C34" s="545" t="s">
        <v>471</v>
      </c>
      <c r="D34" s="545">
        <v>2210</v>
      </c>
      <c r="E34" s="545">
        <v>1518</v>
      </c>
      <c r="F34" s="545" t="s">
        <v>468</v>
      </c>
      <c r="G34" s="545" t="s">
        <v>11</v>
      </c>
      <c r="H34" s="572">
        <v>2</v>
      </c>
      <c r="I34" s="563"/>
      <c r="J34" s="563">
        <v>100</v>
      </c>
      <c r="K34" s="573"/>
    </row>
    <row r="35" spans="1:17" s="569" customFormat="1" ht="21" customHeight="1">
      <c r="A35" s="545"/>
      <c r="B35" s="545"/>
      <c r="C35" s="545"/>
      <c r="D35" s="545"/>
      <c r="E35" s="545"/>
      <c r="F35" s="651"/>
      <c r="G35" s="545"/>
      <c r="H35" s="568"/>
      <c r="I35" s="547"/>
      <c r="J35" s="555"/>
      <c r="K35" s="573"/>
    </row>
    <row r="36" spans="1:17" s="556" customFormat="1" ht="21" customHeight="1">
      <c r="A36" s="550"/>
      <c r="B36" s="550"/>
      <c r="C36" s="550"/>
      <c r="D36" s="550"/>
      <c r="E36" s="550"/>
      <c r="F36" s="574" t="s">
        <v>6</v>
      </c>
      <c r="G36" s="550"/>
      <c r="H36" s="575"/>
      <c r="I36" s="552"/>
      <c r="J36" s="553">
        <f>SUM(J34:J35)</f>
        <v>100</v>
      </c>
      <c r="K36" s="576"/>
    </row>
    <row r="37" spans="1:17">
      <c r="A37" s="535">
        <v>12</v>
      </c>
      <c r="B37" s="535" t="s">
        <v>17</v>
      </c>
      <c r="C37" s="535" t="s">
        <v>5</v>
      </c>
      <c r="D37" s="535">
        <v>2210</v>
      </c>
      <c r="E37" s="535" t="s">
        <v>15</v>
      </c>
      <c r="F37" s="558" t="s">
        <v>114</v>
      </c>
      <c r="G37" s="535" t="s">
        <v>13</v>
      </c>
      <c r="H37" s="613">
        <v>12.9</v>
      </c>
      <c r="I37" s="563"/>
      <c r="J37" s="563">
        <f>154+17+8+25</f>
        <v>204</v>
      </c>
      <c r="K37" s="577"/>
    </row>
    <row r="38" spans="1:17">
      <c r="A38" s="535"/>
      <c r="B38" s="535"/>
      <c r="C38" s="535"/>
      <c r="D38" s="535">
        <v>2210</v>
      </c>
      <c r="E38" s="535">
        <v>1113</v>
      </c>
      <c r="F38" s="558" t="s">
        <v>472</v>
      </c>
      <c r="G38" s="535" t="s">
        <v>43</v>
      </c>
      <c r="H38" s="572">
        <v>1</v>
      </c>
      <c r="I38" s="563"/>
      <c r="J38" s="563">
        <v>1500</v>
      </c>
      <c r="K38" s="577"/>
    </row>
    <row r="39" spans="1:17" s="556" customFormat="1" ht="21" customHeight="1">
      <c r="A39" s="540"/>
      <c r="B39" s="540"/>
      <c r="C39" s="540"/>
      <c r="D39" s="540"/>
      <c r="E39" s="540"/>
      <c r="F39" s="578" t="s">
        <v>6</v>
      </c>
      <c r="G39" s="540"/>
      <c r="H39" s="566"/>
      <c r="I39" s="543"/>
      <c r="J39" s="544">
        <f>SUM(J37:J38)</f>
        <v>1704</v>
      </c>
      <c r="K39" s="567"/>
      <c r="L39" s="534"/>
      <c r="M39" s="534"/>
      <c r="N39" s="534"/>
      <c r="O39" s="534"/>
      <c r="P39" s="534"/>
      <c r="Q39" s="534"/>
    </row>
    <row r="40" spans="1:17" s="581" customFormat="1" ht="21" customHeight="1">
      <c r="A40" s="693" t="s">
        <v>132</v>
      </c>
      <c r="B40" s="693"/>
      <c r="C40" s="693"/>
      <c r="D40" s="693"/>
      <c r="E40" s="693"/>
      <c r="F40" s="693"/>
      <c r="G40" s="693"/>
      <c r="H40" s="693"/>
      <c r="I40" s="693"/>
      <c r="J40" s="652">
        <f>J39+J36+J33+J30+J26+J22+J16+J10+J4</f>
        <v>40311.599999999999</v>
      </c>
      <c r="K40" s="579"/>
      <c r="L40" s="580"/>
    </row>
    <row r="41" spans="1:17" s="581" customFormat="1" ht="21" customHeight="1">
      <c r="A41" s="582">
        <v>13</v>
      </c>
      <c r="B41" s="569" t="s">
        <v>129</v>
      </c>
      <c r="C41" s="583" t="s">
        <v>5</v>
      </c>
      <c r="D41" s="583">
        <v>2210</v>
      </c>
      <c r="E41" s="583">
        <v>1113</v>
      </c>
      <c r="F41" s="584" t="s">
        <v>473</v>
      </c>
      <c r="G41" s="583" t="s">
        <v>43</v>
      </c>
      <c r="H41" s="583">
        <v>28</v>
      </c>
      <c r="I41" s="583"/>
      <c r="J41" s="547">
        <v>3220</v>
      </c>
      <c r="K41" s="585"/>
      <c r="L41" s="580"/>
    </row>
    <row r="42" spans="1:17" s="581" customFormat="1" ht="21" customHeight="1" thickBot="1">
      <c r="A42" s="586"/>
      <c r="B42" s="587"/>
      <c r="C42" s="586"/>
      <c r="D42" s="586"/>
      <c r="E42" s="586"/>
      <c r="F42" s="588" t="s">
        <v>6</v>
      </c>
      <c r="G42" s="586"/>
      <c r="H42" s="586"/>
      <c r="I42" s="586"/>
      <c r="J42" s="544">
        <f>J41</f>
        <v>3220</v>
      </c>
      <c r="K42" s="589"/>
      <c r="L42" s="580"/>
    </row>
    <row r="43" spans="1:17" s="581" customFormat="1" ht="105" customHeight="1">
      <c r="A43" s="583">
        <v>14</v>
      </c>
      <c r="B43" s="654" t="s">
        <v>116</v>
      </c>
      <c r="C43" s="653" t="s">
        <v>474</v>
      </c>
      <c r="D43" s="583">
        <v>2210</v>
      </c>
      <c r="E43" s="583">
        <v>1113</v>
      </c>
      <c r="F43" s="584" t="s">
        <v>475</v>
      </c>
      <c r="G43" s="583" t="s">
        <v>43</v>
      </c>
      <c r="H43" s="583">
        <v>1</v>
      </c>
      <c r="I43" s="590"/>
      <c r="J43" s="547">
        <v>5000</v>
      </c>
      <c r="K43" s="585"/>
      <c r="L43" s="580"/>
    </row>
    <row r="44" spans="1:17" s="581" customFormat="1" ht="21" customHeight="1">
      <c r="A44" s="583"/>
      <c r="B44" s="591"/>
      <c r="C44" s="583"/>
      <c r="D44" s="583">
        <v>2210</v>
      </c>
      <c r="E44" s="583">
        <v>1113</v>
      </c>
      <c r="F44" s="584" t="s">
        <v>476</v>
      </c>
      <c r="G44" s="583" t="s">
        <v>43</v>
      </c>
      <c r="H44" s="583">
        <v>1</v>
      </c>
      <c r="I44" s="590"/>
      <c r="J44" s="547">
        <v>2600</v>
      </c>
      <c r="K44" s="585"/>
      <c r="L44" s="580"/>
    </row>
    <row r="45" spans="1:17" s="581" customFormat="1" ht="21" customHeight="1">
      <c r="A45" s="583"/>
      <c r="B45" s="591"/>
      <c r="C45" s="583"/>
      <c r="D45" s="583">
        <v>2210</v>
      </c>
      <c r="E45" s="583">
        <v>1113</v>
      </c>
      <c r="F45" s="584" t="s">
        <v>277</v>
      </c>
      <c r="G45" s="583" t="s">
        <v>43</v>
      </c>
      <c r="H45" s="583">
        <v>1</v>
      </c>
      <c r="I45" s="590"/>
      <c r="J45" s="547">
        <v>400</v>
      </c>
      <c r="K45" s="585"/>
      <c r="L45" s="580"/>
    </row>
    <row r="46" spans="1:17" s="581" customFormat="1" ht="21" customHeight="1">
      <c r="A46" s="592"/>
      <c r="B46" s="593"/>
      <c r="C46" s="592"/>
      <c r="D46" s="594"/>
      <c r="E46" s="594"/>
      <c r="F46" s="594" t="s">
        <v>117</v>
      </c>
      <c r="G46" s="594"/>
      <c r="H46" s="592"/>
      <c r="I46" s="592"/>
      <c r="J46" s="553">
        <f>SUM(J43:J45)</f>
        <v>8000</v>
      </c>
      <c r="K46" s="595"/>
      <c r="L46" s="580"/>
    </row>
    <row r="47" spans="1:17" s="602" customFormat="1" ht="21" customHeight="1">
      <c r="A47" s="596">
        <v>15</v>
      </c>
      <c r="B47" s="597" t="s">
        <v>477</v>
      </c>
      <c r="C47" s="598" t="s">
        <v>5</v>
      </c>
      <c r="D47" s="546">
        <v>3110</v>
      </c>
      <c r="E47" s="599">
        <v>1014</v>
      </c>
      <c r="F47" s="599" t="s">
        <v>478</v>
      </c>
      <c r="G47" s="599" t="s">
        <v>43</v>
      </c>
      <c r="H47" s="599">
        <v>1</v>
      </c>
      <c r="I47" s="600"/>
      <c r="J47" s="601">
        <v>13928</v>
      </c>
      <c r="K47" s="549"/>
    </row>
    <row r="48" spans="1:17" s="602" customFormat="1" ht="21" customHeight="1">
      <c r="A48" s="596"/>
      <c r="B48" s="597"/>
      <c r="C48" s="598"/>
      <c r="D48" s="546">
        <v>3110</v>
      </c>
      <c r="E48" s="599">
        <v>1014</v>
      </c>
      <c r="F48" s="599" t="s">
        <v>275</v>
      </c>
      <c r="G48" s="599" t="s">
        <v>43</v>
      </c>
      <c r="H48" s="599">
        <v>1</v>
      </c>
      <c r="I48" s="600"/>
      <c r="J48" s="601">
        <v>7500</v>
      </c>
      <c r="K48" s="549"/>
    </row>
    <row r="49" spans="1:12" s="602" customFormat="1" ht="21" customHeight="1">
      <c r="A49" s="603"/>
      <c r="B49" s="604"/>
      <c r="C49" s="605"/>
      <c r="D49" s="542"/>
      <c r="E49" s="604"/>
      <c r="F49" s="604" t="s">
        <v>6</v>
      </c>
      <c r="G49" s="604"/>
      <c r="H49" s="604"/>
      <c r="I49" s="606"/>
      <c r="J49" s="607">
        <f>SUM(J47:J48)</f>
        <v>21428</v>
      </c>
      <c r="K49" s="571"/>
    </row>
    <row r="50" spans="1:12" s="602" customFormat="1" ht="33.75" customHeight="1">
      <c r="A50" s="619">
        <v>18</v>
      </c>
      <c r="B50" s="597" t="s">
        <v>441</v>
      </c>
      <c r="C50" s="653" t="s">
        <v>471</v>
      </c>
      <c r="D50" s="599">
        <v>2210</v>
      </c>
      <c r="E50" s="599">
        <v>1113</v>
      </c>
      <c r="F50" s="619" t="s">
        <v>484</v>
      </c>
      <c r="G50" s="546" t="s">
        <v>11</v>
      </c>
      <c r="H50" s="599">
        <v>1</v>
      </c>
      <c r="I50" s="600"/>
      <c r="J50" s="601">
        <v>250</v>
      </c>
      <c r="K50" s="573"/>
    </row>
    <row r="51" spans="1:12" s="602" customFormat="1" ht="21" customHeight="1">
      <c r="A51" s="603"/>
      <c r="B51" s="615"/>
      <c r="C51" s="604"/>
      <c r="D51" s="604"/>
      <c r="E51" s="604"/>
      <c r="F51" s="608" t="s">
        <v>6</v>
      </c>
      <c r="G51" s="616"/>
      <c r="H51" s="617"/>
      <c r="I51" s="618"/>
      <c r="J51" s="607">
        <f>SUM(J50:J50)</f>
        <v>250</v>
      </c>
      <c r="K51" s="620"/>
    </row>
    <row r="52" spans="1:12" s="602" customFormat="1" ht="99.75" customHeight="1">
      <c r="A52" s="535">
        <v>19</v>
      </c>
      <c r="B52" s="610" t="s">
        <v>479</v>
      </c>
      <c r="C52" s="653" t="s">
        <v>474</v>
      </c>
      <c r="D52" s="538">
        <v>2210</v>
      </c>
      <c r="E52" s="538">
        <v>1113</v>
      </c>
      <c r="F52" s="538" t="s">
        <v>480</v>
      </c>
      <c r="G52" s="538" t="s">
        <v>11</v>
      </c>
      <c r="H52" s="538">
        <v>1</v>
      </c>
      <c r="I52" s="537"/>
      <c r="J52" s="612">
        <v>5000</v>
      </c>
      <c r="K52" s="565"/>
    </row>
    <row r="53" spans="1:12" s="602" customFormat="1" ht="21" customHeight="1">
      <c r="A53" s="535"/>
      <c r="B53" s="610"/>
      <c r="C53" s="611" t="s">
        <v>5</v>
      </c>
      <c r="D53" s="538">
        <v>2210</v>
      </c>
      <c r="E53" s="538">
        <v>1113</v>
      </c>
      <c r="F53" s="538" t="s">
        <v>481</v>
      </c>
      <c r="G53" s="538" t="s">
        <v>11</v>
      </c>
      <c r="H53" s="613">
        <v>1</v>
      </c>
      <c r="I53" s="563"/>
      <c r="J53" s="614">
        <v>1200</v>
      </c>
      <c r="K53" s="565"/>
    </row>
    <row r="54" spans="1:12" s="602" customFormat="1" ht="21" customHeight="1">
      <c r="A54" s="535"/>
      <c r="B54" s="610"/>
      <c r="C54" s="611"/>
      <c r="D54" s="538">
        <v>2210</v>
      </c>
      <c r="E54" s="538" t="s">
        <v>15</v>
      </c>
      <c r="F54" s="538" t="s">
        <v>482</v>
      </c>
      <c r="G54" s="538" t="s">
        <v>483</v>
      </c>
      <c r="H54" s="613">
        <v>21.85</v>
      </c>
      <c r="I54" s="563"/>
      <c r="J54" s="614">
        <v>312.5</v>
      </c>
      <c r="K54" s="565"/>
    </row>
    <row r="55" spans="1:12" s="602" customFormat="1" ht="21" customHeight="1">
      <c r="A55" s="603"/>
      <c r="B55" s="615"/>
      <c r="C55" s="604"/>
      <c r="D55" s="604"/>
      <c r="E55" s="604"/>
      <c r="F55" s="621" t="s">
        <v>6</v>
      </c>
      <c r="G55" s="542"/>
      <c r="H55" s="604"/>
      <c r="I55" s="606"/>
      <c r="J55" s="609">
        <f>SUM(J52:J54)</f>
        <v>6512.5</v>
      </c>
      <c r="K55" s="571"/>
    </row>
    <row r="56" spans="1:12" s="602" customFormat="1" ht="21" customHeight="1">
      <c r="A56" s="622"/>
      <c r="B56" s="623"/>
      <c r="C56" s="624"/>
      <c r="D56" s="624"/>
      <c r="E56" s="624"/>
      <c r="F56" s="625" t="s">
        <v>44</v>
      </c>
      <c r="G56" s="626"/>
      <c r="H56" s="627"/>
      <c r="I56" s="628"/>
      <c r="J56" s="629">
        <f>J55+J51+J49+J46+J42</f>
        <v>39410.5</v>
      </c>
      <c r="K56" s="629">
        <v>39160.5</v>
      </c>
      <c r="L56" s="655">
        <f>J56-K56</f>
        <v>250</v>
      </c>
    </row>
    <row r="57" spans="1:12" s="632" customFormat="1" ht="21" customHeight="1">
      <c r="A57" s="619">
        <v>23</v>
      </c>
      <c r="B57" s="630" t="s">
        <v>25</v>
      </c>
      <c r="C57" s="619" t="s">
        <v>5</v>
      </c>
      <c r="D57" s="619">
        <v>2210</v>
      </c>
      <c r="E57" s="619">
        <v>2213</v>
      </c>
      <c r="F57" s="619" t="s">
        <v>42</v>
      </c>
      <c r="G57" s="619" t="s">
        <v>43</v>
      </c>
      <c r="H57" s="619">
        <v>2972</v>
      </c>
      <c r="I57" s="631"/>
      <c r="J57" s="601">
        <v>743</v>
      </c>
      <c r="K57" s="601"/>
    </row>
    <row r="58" spans="1:12" s="632" customFormat="1" ht="21" customHeight="1">
      <c r="A58" s="603"/>
      <c r="B58" s="633"/>
      <c r="C58" s="633"/>
      <c r="D58" s="633"/>
      <c r="E58" s="633"/>
      <c r="F58" s="621" t="s">
        <v>6</v>
      </c>
      <c r="G58" s="621"/>
      <c r="H58" s="621"/>
      <c r="I58" s="634"/>
      <c r="J58" s="609">
        <f>SUM(J57)</f>
        <v>743</v>
      </c>
      <c r="K58" s="609"/>
    </row>
    <row r="59" spans="1:12" s="602" customFormat="1" ht="21.75" customHeight="1" thickBot="1">
      <c r="A59" s="622"/>
      <c r="B59" s="704" t="s">
        <v>131</v>
      </c>
      <c r="C59" s="705"/>
      <c r="D59" s="705"/>
      <c r="E59" s="705"/>
      <c r="F59" s="706"/>
      <c r="G59" s="91"/>
      <c r="H59" s="143"/>
      <c r="I59" s="92"/>
      <c r="J59" s="93">
        <f>J40+J56+J58</f>
        <v>80465.100000000006</v>
      </c>
      <c r="K59" s="93"/>
    </row>
    <row r="60" spans="1:12" s="632" customFormat="1" ht="21.75" customHeight="1">
      <c r="A60" s="635"/>
      <c r="B60" s="181"/>
      <c r="C60" s="181"/>
      <c r="D60" s="181"/>
      <c r="E60" s="181"/>
      <c r="F60" s="181"/>
      <c r="G60" s="182"/>
      <c r="H60" s="181"/>
      <c r="I60" s="182"/>
      <c r="J60" s="183"/>
      <c r="K60" s="183"/>
    </row>
    <row r="61" spans="1:12" s="632" customFormat="1" ht="21.75" customHeight="1">
      <c r="A61" s="635"/>
      <c r="B61" s="181"/>
      <c r="C61" s="181"/>
      <c r="D61" s="181"/>
      <c r="E61" s="181"/>
      <c r="F61" s="181"/>
      <c r="G61" s="182"/>
      <c r="H61" s="181"/>
      <c r="I61" s="182"/>
      <c r="J61" s="183"/>
      <c r="K61" s="183"/>
    </row>
    <row r="62" spans="1:12" s="602" customFormat="1" ht="21">
      <c r="A62" s="636"/>
      <c r="B62" s="710" t="s">
        <v>486</v>
      </c>
      <c r="C62" s="710"/>
      <c r="D62" s="710"/>
      <c r="E62" s="637"/>
      <c r="F62" s="638"/>
      <c r="G62" s="637"/>
      <c r="H62" s="639"/>
      <c r="I62" s="637"/>
      <c r="J62" s="640"/>
      <c r="K62" s="641"/>
    </row>
    <row r="63" spans="1:12" s="602" customFormat="1" ht="21">
      <c r="A63" s="636"/>
      <c r="B63" s="710" t="s">
        <v>451</v>
      </c>
      <c r="C63" s="710"/>
      <c r="D63" s="710"/>
      <c r="E63" s="710"/>
      <c r="F63" s="642"/>
      <c r="G63" s="637"/>
      <c r="H63" s="639"/>
      <c r="I63" s="637"/>
      <c r="J63" s="640"/>
      <c r="K63" s="641"/>
    </row>
    <row r="64" spans="1:12">
      <c r="A64" s="637"/>
      <c r="B64" s="639"/>
      <c r="C64" s="639"/>
      <c r="D64" s="639"/>
      <c r="E64" s="639"/>
      <c r="F64" s="639"/>
      <c r="G64" s="639"/>
      <c r="H64" s="639"/>
      <c r="I64" s="643"/>
      <c r="J64" s="639"/>
      <c r="K64" s="639"/>
    </row>
    <row r="65" spans="1:11">
      <c r="A65" s="637"/>
      <c r="B65" s="639"/>
      <c r="C65" s="639"/>
      <c r="D65" s="639"/>
      <c r="E65" s="639"/>
      <c r="F65" s="639"/>
      <c r="G65" s="639"/>
      <c r="H65" s="639"/>
      <c r="I65" s="643"/>
      <c r="J65" s="639"/>
      <c r="K65" s="656">
        <f ca="1">J59+лютий!J117</f>
        <v>443612.53</v>
      </c>
    </row>
    <row r="66" spans="1:11">
      <c r="A66" s="637"/>
      <c r="B66" s="639"/>
      <c r="C66" s="639"/>
      <c r="D66" s="639"/>
      <c r="E66" s="639"/>
      <c r="F66" s="639"/>
      <c r="G66" s="639"/>
      <c r="H66" s="639"/>
      <c r="I66" s="643"/>
      <c r="J66" s="639"/>
      <c r="K66" s="639"/>
    </row>
    <row r="67" spans="1:11">
      <c r="A67" s="637"/>
      <c r="B67" s="637"/>
      <c r="C67" s="637"/>
      <c r="D67" s="637"/>
      <c r="E67" s="637"/>
      <c r="F67" s="639"/>
      <c r="G67" s="637"/>
      <c r="H67" s="639"/>
      <c r="I67" s="641"/>
      <c r="J67" s="637"/>
      <c r="K67" s="637"/>
    </row>
    <row r="68" spans="1:11">
      <c r="A68" s="637"/>
      <c r="B68" s="637"/>
      <c r="C68" s="637"/>
      <c r="D68" s="637"/>
      <c r="E68" s="637"/>
      <c r="F68" s="639"/>
      <c r="G68" s="637"/>
      <c r="H68" s="639"/>
      <c r="I68" s="641"/>
      <c r="J68" s="637"/>
      <c r="K68" s="637"/>
    </row>
    <row r="69" spans="1:11">
      <c r="A69" s="637"/>
      <c r="B69" s="637"/>
      <c r="C69" s="637"/>
      <c r="D69" s="637"/>
      <c r="E69" s="637"/>
      <c r="F69" s="639"/>
      <c r="G69" s="637"/>
      <c r="H69" s="639"/>
      <c r="I69" s="641"/>
      <c r="J69" s="637"/>
      <c r="K69" s="637"/>
    </row>
  </sheetData>
  <mergeCells count="5">
    <mergeCell ref="B62:D62"/>
    <mergeCell ref="B63:E63"/>
    <mergeCell ref="A1:J1"/>
    <mergeCell ref="A40:I40"/>
    <mergeCell ref="B59:F59"/>
  </mergeCells>
  <phoneticPr fontId="21" type="noConversion"/>
  <pageMargins left="0.75" right="0.75" top="1" bottom="1" header="0.5" footer="0.5"/>
  <pageSetup paperSize="9" scale="40" orientation="portrait" verticalDpi="0" r:id="rId1"/>
  <headerFooter alignWithMargins="0"/>
  <rowBreaks count="1" manualBreakCount="1">
    <brk id="62" max="16383" man="1"/>
  </rowBreaks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 enableFormatConditionsCalculation="0">
    <tabColor indexed="14"/>
  </sheetPr>
  <dimension ref="A1:N50"/>
  <sheetViews>
    <sheetView view="pageBreakPreview" zoomScale="60" zoomScaleNormal="75" workbookViewId="0">
      <selection activeCell="F30" sqref="F30"/>
    </sheetView>
  </sheetViews>
  <sheetFormatPr defaultRowHeight="15"/>
  <cols>
    <col min="1" max="1" width="6.7109375" style="5" customWidth="1"/>
    <col min="2" max="2" width="18.28515625" style="5" customWidth="1"/>
    <col min="3" max="3" width="19.140625" style="5" customWidth="1"/>
    <col min="4" max="4" width="8.140625" style="5" customWidth="1"/>
    <col min="5" max="5" width="10.140625" style="5" customWidth="1"/>
    <col min="6" max="6" width="74.42578125" style="145" customWidth="1"/>
    <col min="7" max="7" width="13.140625" style="5" customWidth="1"/>
    <col min="8" max="8" width="12.7109375" style="145" customWidth="1"/>
    <col min="9" max="9" width="14.140625" style="29" customWidth="1"/>
    <col min="10" max="10" width="21.140625" style="5" customWidth="1"/>
    <col min="11" max="11" width="10.28515625" style="5" customWidth="1"/>
    <col min="12" max="14" width="9.140625" style="5" hidden="1" customWidth="1"/>
    <col min="15" max="16384" width="9.140625" style="5"/>
  </cols>
  <sheetData>
    <row r="1" spans="1:11" ht="29.25" customHeight="1" thickBot="1">
      <c r="A1" s="692" t="s">
        <v>487</v>
      </c>
      <c r="B1" s="692"/>
      <c r="C1" s="692"/>
      <c r="D1" s="692"/>
      <c r="E1" s="692"/>
      <c r="F1" s="692"/>
      <c r="G1" s="692"/>
      <c r="H1" s="692"/>
      <c r="I1" s="692"/>
      <c r="J1" s="692"/>
    </row>
    <row r="2" spans="1:11" ht="40.5" customHeight="1" thickBot="1">
      <c r="A2" s="185" t="s">
        <v>0</v>
      </c>
      <c r="B2" s="2" t="s">
        <v>1</v>
      </c>
      <c r="C2" s="2" t="s">
        <v>96</v>
      </c>
      <c r="D2" s="2" t="s">
        <v>2</v>
      </c>
      <c r="E2" s="2" t="s">
        <v>95</v>
      </c>
      <c r="F2" s="2" t="s">
        <v>3</v>
      </c>
      <c r="G2" s="3" t="s">
        <v>97</v>
      </c>
      <c r="H2" s="2" t="s">
        <v>4</v>
      </c>
      <c r="I2" s="4" t="s">
        <v>98</v>
      </c>
      <c r="J2" s="2" t="s">
        <v>99</v>
      </c>
    </row>
    <row r="3" spans="1:11" ht="21" customHeight="1">
      <c r="A3" s="7">
        <v>1</v>
      </c>
      <c r="B3" s="7" t="s">
        <v>386</v>
      </c>
      <c r="C3" s="7" t="s">
        <v>5</v>
      </c>
      <c r="D3" s="7">
        <v>2210</v>
      </c>
      <c r="E3" s="7" t="s">
        <v>19</v>
      </c>
      <c r="F3" s="7" t="s">
        <v>143</v>
      </c>
      <c r="G3" s="7" t="s">
        <v>144</v>
      </c>
      <c r="H3" s="19">
        <v>1</v>
      </c>
      <c r="I3" s="9"/>
      <c r="J3" s="9">
        <f>37.8+94.2</f>
        <v>132</v>
      </c>
    </row>
    <row r="4" spans="1:11" ht="21" customHeight="1">
      <c r="A4" s="7"/>
      <c r="B4" s="7"/>
      <c r="C4" s="7"/>
      <c r="D4" s="7">
        <v>2220</v>
      </c>
      <c r="E4" s="7">
        <v>1512</v>
      </c>
      <c r="F4" s="7" t="s">
        <v>145</v>
      </c>
      <c r="G4" s="7" t="s">
        <v>142</v>
      </c>
      <c r="H4" s="10">
        <v>1</v>
      </c>
      <c r="I4" s="9"/>
      <c r="J4" s="9">
        <v>190</v>
      </c>
    </row>
    <row r="5" spans="1:11" s="16" customFormat="1" ht="21" customHeight="1">
      <c r="A5" s="12"/>
      <c r="B5" s="12"/>
      <c r="C5" s="12"/>
      <c r="D5" s="12"/>
      <c r="E5" s="12"/>
      <c r="F5" s="15" t="s">
        <v>6</v>
      </c>
      <c r="G5" s="12"/>
      <c r="H5" s="17"/>
      <c r="I5" s="14"/>
      <c r="J5" s="36">
        <f>SUM(J3:J4)</f>
        <v>322</v>
      </c>
    </row>
    <row r="6" spans="1:11" s="28" customFormat="1" ht="21" customHeight="1">
      <c r="A6" s="31">
        <v>2</v>
      </c>
      <c r="B6" s="31" t="s">
        <v>488</v>
      </c>
      <c r="C6" s="31" t="s">
        <v>5</v>
      </c>
      <c r="D6" s="31">
        <v>2210</v>
      </c>
      <c r="E6" s="31" t="s">
        <v>15</v>
      </c>
      <c r="F6" s="31" t="s">
        <v>194</v>
      </c>
      <c r="G6" s="31" t="s">
        <v>13</v>
      </c>
      <c r="H6" s="194" t="s">
        <v>57</v>
      </c>
      <c r="I6" s="32"/>
      <c r="J6" s="186">
        <v>550</v>
      </c>
    </row>
    <row r="7" spans="1:11" s="28" customFormat="1" ht="21" customHeight="1">
      <c r="A7" s="31"/>
      <c r="B7" s="31"/>
      <c r="C7" s="31"/>
      <c r="D7" s="31">
        <v>2210</v>
      </c>
      <c r="E7" s="31">
        <v>1113</v>
      </c>
      <c r="F7" s="31" t="s">
        <v>489</v>
      </c>
      <c r="G7" s="31" t="s">
        <v>43</v>
      </c>
      <c r="H7" s="194" t="s">
        <v>175</v>
      </c>
      <c r="I7" s="32"/>
      <c r="J7" s="186">
        <v>12580</v>
      </c>
    </row>
    <row r="8" spans="1:11" s="16" customFormat="1" ht="21" customHeight="1">
      <c r="A8" s="12"/>
      <c r="B8" s="12"/>
      <c r="C8" s="12"/>
      <c r="D8" s="12"/>
      <c r="E8" s="12"/>
      <c r="F8" s="15" t="s">
        <v>6</v>
      </c>
      <c r="G8" s="12"/>
      <c r="H8" s="17"/>
      <c r="I8" s="14"/>
      <c r="J8" s="36">
        <f>SUM(J6:J7)</f>
        <v>13130</v>
      </c>
    </row>
    <row r="9" spans="1:11" s="28" customFormat="1" ht="21" customHeight="1">
      <c r="A9" s="31">
        <v>3</v>
      </c>
      <c r="B9" s="31" t="s">
        <v>253</v>
      </c>
      <c r="C9" s="31" t="s">
        <v>5</v>
      </c>
      <c r="D9" s="31">
        <v>2210</v>
      </c>
      <c r="E9" s="31" t="s">
        <v>15</v>
      </c>
      <c r="F9" s="31" t="s">
        <v>490</v>
      </c>
      <c r="G9" s="31" t="s">
        <v>147</v>
      </c>
      <c r="H9" s="194" t="s">
        <v>491</v>
      </c>
      <c r="I9" s="32"/>
      <c r="J9" s="186">
        <v>278</v>
      </c>
    </row>
    <row r="10" spans="1:11" s="28" customFormat="1" ht="21" customHeight="1">
      <c r="A10" s="31"/>
      <c r="B10" s="31"/>
      <c r="C10" s="31"/>
      <c r="D10" s="31">
        <v>2210</v>
      </c>
      <c r="E10" s="31" t="s">
        <v>19</v>
      </c>
      <c r="F10" s="31" t="s">
        <v>492</v>
      </c>
      <c r="G10" s="31" t="s">
        <v>142</v>
      </c>
      <c r="H10" s="194" t="s">
        <v>49</v>
      </c>
      <c r="I10" s="32"/>
      <c r="J10" s="186">
        <v>175</v>
      </c>
    </row>
    <row r="11" spans="1:11" s="16" customFormat="1" ht="21" customHeight="1">
      <c r="A11" s="12"/>
      <c r="B11" s="12"/>
      <c r="C11" s="12"/>
      <c r="D11" s="12"/>
      <c r="E11" s="12"/>
      <c r="F11" s="15" t="s">
        <v>6</v>
      </c>
      <c r="G11" s="12"/>
      <c r="H11" s="17"/>
      <c r="I11" s="14"/>
      <c r="J11" s="36">
        <f>SUM(J9:J10)</f>
        <v>453</v>
      </c>
    </row>
    <row r="12" spans="1:11" s="28" customFormat="1" ht="21" customHeight="1">
      <c r="A12" s="31">
        <v>4</v>
      </c>
      <c r="B12" s="31" t="s">
        <v>493</v>
      </c>
      <c r="C12" s="31" t="s">
        <v>136</v>
      </c>
      <c r="D12" s="31">
        <v>2210</v>
      </c>
      <c r="E12" s="31" t="s">
        <v>15</v>
      </c>
      <c r="F12" s="31" t="s">
        <v>209</v>
      </c>
      <c r="G12" s="31" t="s">
        <v>144</v>
      </c>
      <c r="H12" s="194" t="s">
        <v>111</v>
      </c>
      <c r="I12" s="32"/>
      <c r="J12" s="186">
        <v>130</v>
      </c>
    </row>
    <row r="13" spans="1:11" s="16" customFormat="1" ht="21" customHeight="1">
      <c r="A13" s="12"/>
      <c r="B13" s="12"/>
      <c r="C13" s="12"/>
      <c r="D13" s="12"/>
      <c r="E13" s="12"/>
      <c r="F13" s="15" t="s">
        <v>6</v>
      </c>
      <c r="G13" s="12"/>
      <c r="H13" s="17"/>
      <c r="I13" s="14"/>
      <c r="J13" s="36">
        <f>SUM(J12:J12)</f>
        <v>130</v>
      </c>
    </row>
    <row r="14" spans="1:11" s="23" customFormat="1" ht="21" customHeight="1">
      <c r="A14" s="708" t="s">
        <v>150</v>
      </c>
      <c r="B14" s="708"/>
      <c r="C14" s="708"/>
      <c r="D14" s="708"/>
      <c r="E14" s="708"/>
      <c r="F14" s="708"/>
      <c r="G14" s="708"/>
      <c r="H14" s="708"/>
      <c r="I14" s="708"/>
      <c r="J14" s="211">
        <f>J13+J11+J8+J5</f>
        <v>14035</v>
      </c>
      <c r="K14" s="38"/>
    </row>
    <row r="15" spans="1:11" s="23" customFormat="1" ht="49.5" customHeight="1">
      <c r="A15" s="213">
        <v>5</v>
      </c>
      <c r="B15" s="195" t="s">
        <v>494</v>
      </c>
      <c r="C15" s="196" t="s">
        <v>5</v>
      </c>
      <c r="D15" s="196">
        <v>2210</v>
      </c>
      <c r="E15" s="196" t="s">
        <v>15</v>
      </c>
      <c r="F15" s="657" t="s">
        <v>495</v>
      </c>
      <c r="G15" s="196" t="s">
        <v>496</v>
      </c>
      <c r="H15" s="196">
        <v>39</v>
      </c>
      <c r="I15" s="196"/>
      <c r="J15" s="32">
        <v>1011</v>
      </c>
      <c r="K15" s="38"/>
    </row>
    <row r="16" spans="1:11" s="23" customFormat="1" ht="21" customHeight="1">
      <c r="A16" s="213"/>
      <c r="B16" s="139"/>
      <c r="C16" s="196"/>
      <c r="D16" s="196">
        <v>2220</v>
      </c>
      <c r="E16" s="196">
        <v>1512</v>
      </c>
      <c r="F16" s="214" t="s">
        <v>192</v>
      </c>
      <c r="G16" s="196" t="s">
        <v>13</v>
      </c>
      <c r="H16" s="196">
        <v>5</v>
      </c>
      <c r="I16" s="196"/>
      <c r="J16" s="32">
        <v>1150</v>
      </c>
      <c r="K16" s="38"/>
    </row>
    <row r="17" spans="1:11" s="23" customFormat="1" ht="21" customHeight="1" thickBot="1">
      <c r="A17" s="198"/>
      <c r="B17" s="216"/>
      <c r="C17" s="198"/>
      <c r="D17" s="198"/>
      <c r="E17" s="198"/>
      <c r="F17" s="217" t="s">
        <v>6</v>
      </c>
      <c r="G17" s="198"/>
      <c r="H17" s="198"/>
      <c r="I17" s="198"/>
      <c r="J17" s="36">
        <f>SUM(J15:J16)</f>
        <v>2161</v>
      </c>
      <c r="K17" s="38"/>
    </row>
    <row r="18" spans="1:11" s="23" customFormat="1" ht="21" customHeight="1">
      <c r="A18" s="196">
        <v>6</v>
      </c>
      <c r="B18" s="195" t="s">
        <v>497</v>
      </c>
      <c r="C18" s="196" t="s">
        <v>5</v>
      </c>
      <c r="D18" s="196">
        <v>2220</v>
      </c>
      <c r="E18" s="196">
        <v>1512</v>
      </c>
      <c r="F18" s="214" t="s">
        <v>498</v>
      </c>
      <c r="G18" s="196" t="s">
        <v>278</v>
      </c>
      <c r="H18" s="196">
        <v>3</v>
      </c>
      <c r="I18" s="258"/>
      <c r="J18" s="32">
        <v>1050</v>
      </c>
      <c r="K18" s="38"/>
    </row>
    <row r="19" spans="1:11" s="23" customFormat="1" ht="21" customHeight="1">
      <c r="A19" s="240"/>
      <c r="B19" s="242"/>
      <c r="C19" s="240"/>
      <c r="D19" s="239"/>
      <c r="E19" s="239"/>
      <c r="F19" s="256" t="s">
        <v>6</v>
      </c>
      <c r="G19" s="239"/>
      <c r="H19" s="240"/>
      <c r="I19" s="240"/>
      <c r="J19" s="130">
        <f>SUM(J18:J18)</f>
        <v>1050</v>
      </c>
      <c r="K19" s="38"/>
    </row>
    <row r="20" spans="1:11" s="28" customFormat="1" ht="21" customHeight="1">
      <c r="A20" s="196">
        <v>7</v>
      </c>
      <c r="B20" s="658" t="s">
        <v>190</v>
      </c>
      <c r="C20" s="264" t="s">
        <v>5</v>
      </c>
      <c r="D20" s="196">
        <v>2210</v>
      </c>
      <c r="E20" s="196" t="s">
        <v>15</v>
      </c>
      <c r="F20" s="196" t="s">
        <v>499</v>
      </c>
      <c r="G20" s="196" t="s">
        <v>483</v>
      </c>
      <c r="H20" s="196">
        <v>11</v>
      </c>
      <c r="I20" s="196"/>
      <c r="J20" s="32">
        <v>139.19999999999999</v>
      </c>
      <c r="K20" s="265"/>
    </row>
    <row r="21" spans="1:11" s="23" customFormat="1" ht="21" customHeight="1">
      <c r="A21" s="240"/>
      <c r="B21" s="260"/>
      <c r="C21" s="261"/>
      <c r="D21" s="239"/>
      <c r="E21" s="239"/>
      <c r="F21" s="256" t="s">
        <v>6</v>
      </c>
      <c r="G21" s="239"/>
      <c r="H21" s="240"/>
      <c r="I21" s="240"/>
      <c r="J21" s="130">
        <f>SUM(J20:J20)</f>
        <v>139.19999999999999</v>
      </c>
      <c r="K21" s="38"/>
    </row>
    <row r="22" spans="1:11" customFormat="1" ht="21" customHeight="1">
      <c r="A22" s="68"/>
      <c r="B22" s="142"/>
      <c r="C22" s="142"/>
      <c r="D22" s="142"/>
      <c r="E22" s="142"/>
      <c r="F22" s="268" t="s">
        <v>151</v>
      </c>
      <c r="G22" s="69"/>
      <c r="H22" s="142"/>
      <c r="I22" s="70"/>
      <c r="J22" s="267">
        <f>J21+J19+J17</f>
        <v>3350.2</v>
      </c>
    </row>
    <row r="23" spans="1:11" customFormat="1" ht="21.75" customHeight="1" thickBot="1">
      <c r="A23" s="68"/>
      <c r="B23" s="704" t="s">
        <v>141</v>
      </c>
      <c r="C23" s="705"/>
      <c r="D23" s="705"/>
      <c r="E23" s="705"/>
      <c r="F23" s="706"/>
      <c r="G23" s="91"/>
      <c r="H23" s="143"/>
      <c r="I23" s="92"/>
      <c r="J23" s="93">
        <f>J22+J14</f>
        <v>17385.2</v>
      </c>
    </row>
    <row r="24" spans="1:11" s="1" customFormat="1" ht="21.75" customHeight="1">
      <c r="A24" s="180"/>
      <c r="B24" s="181"/>
      <c r="C24" s="181"/>
      <c r="D24" s="181"/>
      <c r="E24" s="181"/>
      <c r="F24" s="181"/>
      <c r="G24" s="182"/>
      <c r="H24" s="181"/>
      <c r="I24" s="182"/>
      <c r="J24" s="183"/>
    </row>
    <row r="25" spans="1:11" s="1" customFormat="1" ht="21.75" customHeight="1">
      <c r="A25" s="180"/>
      <c r="B25" s="181"/>
      <c r="C25" s="181"/>
      <c r="D25" s="181"/>
      <c r="E25" s="181"/>
      <c r="F25" s="181"/>
      <c r="G25" s="182"/>
      <c r="H25" s="181"/>
      <c r="I25" s="182"/>
      <c r="J25" s="183"/>
    </row>
    <row r="26" spans="1:11" customFormat="1" ht="18.75">
      <c r="A26" s="62"/>
      <c r="B26" s="707" t="s">
        <v>305</v>
      </c>
      <c r="C26" s="707"/>
      <c r="D26" s="707"/>
      <c r="E26" s="63"/>
      <c r="F26" s="179"/>
      <c r="G26" s="63"/>
      <c r="H26" s="64"/>
      <c r="I26" s="63"/>
      <c r="J26" s="65"/>
    </row>
    <row r="27" spans="1:11" customFormat="1" ht="18.75">
      <c r="A27" s="62"/>
      <c r="B27" s="707"/>
      <c r="C27" s="707"/>
      <c r="D27" s="707"/>
      <c r="E27" s="707"/>
      <c r="F27" s="66"/>
      <c r="G27" s="63"/>
      <c r="H27" s="64"/>
      <c r="I27" s="63"/>
      <c r="J27" s="65"/>
    </row>
    <row r="28" spans="1:11" ht="18.75">
      <c r="A28" s="25"/>
      <c r="B28" s="26"/>
      <c r="C28" s="26"/>
      <c r="D28" s="26"/>
      <c r="E28" s="26"/>
      <c r="F28" s="26"/>
      <c r="G28" s="26"/>
      <c r="H28" s="26"/>
      <c r="I28" s="27"/>
      <c r="J28" s="26"/>
    </row>
    <row r="29" spans="1:11" ht="18.75">
      <c r="A29" s="25"/>
      <c r="B29" s="26"/>
      <c r="C29" s="26"/>
      <c r="D29" s="26"/>
      <c r="E29" s="26"/>
      <c r="F29" s="26"/>
      <c r="G29" s="26"/>
      <c r="H29" s="26"/>
      <c r="I29" s="27"/>
      <c r="J29" s="26"/>
    </row>
    <row r="30" spans="1:11" ht="18.75">
      <c r="A30" s="25"/>
      <c r="B30" s="26"/>
      <c r="C30" s="26"/>
      <c r="D30" s="26"/>
      <c r="E30" s="26"/>
      <c r="F30" s="26"/>
      <c r="G30" s="26"/>
      <c r="H30" s="26"/>
      <c r="I30" s="27"/>
      <c r="J30" s="26"/>
    </row>
    <row r="31" spans="1:11" ht="18.75">
      <c r="A31" s="25"/>
      <c r="B31" s="25"/>
      <c r="C31" s="25"/>
      <c r="D31" s="25"/>
      <c r="E31" s="25"/>
      <c r="F31" s="26"/>
      <c r="G31" s="25"/>
      <c r="H31" s="26"/>
      <c r="I31" s="30"/>
      <c r="J31" s="25"/>
    </row>
    <row r="32" spans="1:11" ht="18.75">
      <c r="A32" s="25"/>
      <c r="B32" s="25"/>
      <c r="C32" s="25"/>
      <c r="D32" s="25"/>
      <c r="E32" s="25"/>
      <c r="F32" s="26"/>
      <c r="G32" s="25"/>
      <c r="H32" s="26"/>
      <c r="I32" s="30"/>
      <c r="J32" s="25"/>
    </row>
    <row r="33" spans="1:10" ht="18.75">
      <c r="A33" s="25"/>
      <c r="B33" s="25"/>
      <c r="C33" s="25"/>
      <c r="D33" s="25"/>
      <c r="E33" s="25"/>
      <c r="F33" s="26"/>
      <c r="G33" s="25"/>
      <c r="H33" s="26"/>
      <c r="I33" s="30"/>
      <c r="J33" s="25"/>
    </row>
    <row r="34" spans="1:10" ht="18.75">
      <c r="A34" s="24"/>
      <c r="B34" s="24"/>
      <c r="C34" s="24"/>
      <c r="D34" s="24"/>
      <c r="E34" s="24"/>
      <c r="F34" s="144"/>
      <c r="G34" s="24"/>
      <c r="H34" s="144"/>
      <c r="I34" s="33"/>
      <c r="J34" s="24"/>
    </row>
    <row r="35" spans="1:10" ht="18.75">
      <c r="A35" s="24"/>
      <c r="B35" s="24"/>
      <c r="C35" s="24"/>
      <c r="D35" s="24"/>
      <c r="E35" s="24"/>
      <c r="F35" s="144"/>
      <c r="G35" s="24"/>
      <c r="H35" s="144"/>
      <c r="I35" s="33"/>
      <c r="J35" s="24"/>
    </row>
    <row r="36" spans="1:10" ht="18.75">
      <c r="A36" s="24"/>
      <c r="B36" s="24"/>
      <c r="C36" s="24"/>
      <c r="D36" s="24"/>
      <c r="E36" s="24"/>
      <c r="F36" s="144"/>
      <c r="G36" s="24"/>
      <c r="H36" s="144"/>
      <c r="I36" s="33"/>
      <c r="J36" s="24"/>
    </row>
    <row r="37" spans="1:10" ht="18.75">
      <c r="A37" s="24"/>
      <c r="B37" s="24"/>
      <c r="C37" s="24"/>
      <c r="D37" s="24"/>
      <c r="E37" s="24"/>
      <c r="F37" s="144"/>
      <c r="G37" s="24"/>
      <c r="H37" s="144"/>
      <c r="I37" s="33"/>
      <c r="J37" s="24"/>
    </row>
    <row r="38" spans="1:10" ht="18.75">
      <c r="A38" s="24"/>
      <c r="B38" s="24"/>
      <c r="C38" s="24"/>
      <c r="D38" s="24"/>
      <c r="E38" s="24"/>
      <c r="F38" s="144"/>
      <c r="G38" s="24"/>
      <c r="H38" s="144"/>
      <c r="I38" s="33"/>
      <c r="J38" s="24"/>
    </row>
    <row r="39" spans="1:10" ht="18.75">
      <c r="A39" s="24"/>
      <c r="B39" s="24"/>
      <c r="C39" s="24"/>
      <c r="D39" s="24"/>
      <c r="E39" s="24"/>
      <c r="F39" s="144"/>
      <c r="G39" s="24"/>
      <c r="H39" s="144"/>
      <c r="I39" s="33"/>
      <c r="J39" s="24"/>
    </row>
    <row r="40" spans="1:10" ht="18.75">
      <c r="A40" s="24"/>
      <c r="B40" s="24"/>
      <c r="C40" s="24"/>
      <c r="D40" s="24"/>
      <c r="E40" s="24"/>
      <c r="F40" s="144"/>
      <c r="G40" s="24"/>
      <c r="H40" s="144"/>
      <c r="I40" s="33"/>
      <c r="J40" s="24"/>
    </row>
    <row r="41" spans="1:10" ht="18.75">
      <c r="A41" s="24"/>
      <c r="B41" s="24"/>
      <c r="C41" s="24"/>
      <c r="D41" s="24"/>
      <c r="E41" s="24"/>
      <c r="F41" s="144"/>
      <c r="G41" s="24"/>
      <c r="H41" s="144"/>
      <c r="I41" s="33"/>
      <c r="J41" s="24"/>
    </row>
    <row r="42" spans="1:10" ht="18.75">
      <c r="A42" s="24"/>
      <c r="B42" s="24"/>
      <c r="C42" s="24"/>
      <c r="D42" s="24"/>
      <c r="E42" s="24"/>
      <c r="F42" s="144"/>
      <c r="G42" s="24"/>
      <c r="H42" s="144"/>
      <c r="I42" s="33"/>
      <c r="J42" s="24"/>
    </row>
    <row r="43" spans="1:10" ht="18.75">
      <c r="A43" s="24"/>
      <c r="B43" s="24"/>
      <c r="C43" s="24"/>
      <c r="D43" s="24"/>
      <c r="E43" s="24"/>
      <c r="F43" s="144"/>
      <c r="G43" s="24"/>
      <c r="H43" s="144"/>
      <c r="I43" s="33"/>
      <c r="J43" s="24"/>
    </row>
    <row r="44" spans="1:10" ht="18.75">
      <c r="A44" s="24"/>
      <c r="B44" s="24"/>
      <c r="C44" s="24"/>
      <c r="D44" s="24"/>
      <c r="E44" s="24"/>
      <c r="F44" s="144"/>
      <c r="G44" s="24"/>
      <c r="H44" s="144"/>
      <c r="I44" s="33"/>
      <c r="J44" s="24"/>
    </row>
    <row r="45" spans="1:10" ht="18.75">
      <c r="A45" s="24"/>
      <c r="B45" s="24"/>
      <c r="C45" s="24"/>
      <c r="D45" s="24"/>
      <c r="E45" s="24"/>
      <c r="F45" s="144"/>
      <c r="G45" s="24"/>
      <c r="H45" s="144"/>
      <c r="I45" s="33"/>
      <c r="J45" s="24"/>
    </row>
    <row r="46" spans="1:10" ht="18.75">
      <c r="A46" s="24"/>
      <c r="B46" s="24"/>
      <c r="C46" s="24"/>
      <c r="D46" s="24"/>
      <c r="E46" s="24"/>
      <c r="F46" s="144"/>
      <c r="G46" s="24"/>
      <c r="H46" s="144"/>
      <c r="I46" s="33"/>
      <c r="J46" s="24"/>
    </row>
    <row r="47" spans="1:10" ht="18.75">
      <c r="A47" s="24"/>
      <c r="B47" s="24"/>
      <c r="C47" s="24"/>
      <c r="D47" s="24"/>
      <c r="E47" s="24"/>
      <c r="F47" s="144"/>
      <c r="G47" s="24"/>
      <c r="H47" s="144"/>
      <c r="I47" s="33"/>
      <c r="J47" s="24"/>
    </row>
    <row r="48" spans="1:10" ht="18.75">
      <c r="A48" s="24"/>
      <c r="B48" s="24"/>
      <c r="C48" s="24"/>
      <c r="D48" s="24"/>
      <c r="E48" s="24"/>
      <c r="F48" s="144"/>
      <c r="G48" s="24"/>
      <c r="H48" s="144"/>
      <c r="I48" s="33"/>
      <c r="J48" s="24"/>
    </row>
    <row r="49" spans="1:10" ht="18.75">
      <c r="A49" s="24"/>
      <c r="B49" s="24"/>
      <c r="C49" s="24"/>
      <c r="D49" s="24"/>
      <c r="E49" s="24"/>
      <c r="F49" s="144"/>
      <c r="G49" s="24"/>
      <c r="H49" s="144"/>
      <c r="I49" s="33"/>
      <c r="J49" s="24"/>
    </row>
    <row r="50" spans="1:10" ht="18.75">
      <c r="A50" s="24"/>
      <c r="B50" s="24"/>
      <c r="C50" s="24"/>
      <c r="D50" s="24"/>
      <c r="E50" s="24"/>
      <c r="F50" s="144"/>
      <c r="G50" s="24"/>
      <c r="H50" s="144"/>
      <c r="I50" s="33"/>
      <c r="J50" s="24"/>
    </row>
  </sheetData>
  <mergeCells count="5">
    <mergeCell ref="B27:E27"/>
    <mergeCell ref="B26:D26"/>
    <mergeCell ref="A1:J1"/>
    <mergeCell ref="A14:I14"/>
    <mergeCell ref="B23:F23"/>
  </mergeCells>
  <phoneticPr fontId="21" type="noConversion"/>
  <pageMargins left="0.75" right="0.75" top="1" bottom="1" header="0.5" footer="0.5"/>
  <pageSetup paperSize="9" scale="40" orientation="portrait" verticalDpi="0" r:id="rId1"/>
  <headerFooter alignWithMargins="0"/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 enableFormatConditionsCalculation="0">
    <tabColor indexed="14"/>
  </sheetPr>
  <dimension ref="A1:S56"/>
  <sheetViews>
    <sheetView topLeftCell="A11" zoomScale="75" workbookViewId="0">
      <selection activeCell="F36" sqref="F36"/>
    </sheetView>
  </sheetViews>
  <sheetFormatPr defaultRowHeight="15"/>
  <cols>
    <col min="1" max="1" width="6.7109375" style="5" customWidth="1"/>
    <col min="2" max="2" width="19.42578125" style="5" customWidth="1"/>
    <col min="3" max="3" width="19.140625" style="5" customWidth="1"/>
    <col min="4" max="4" width="8.140625" style="5" customWidth="1"/>
    <col min="5" max="5" width="10.140625" style="5" customWidth="1"/>
    <col min="6" max="6" width="74.42578125" style="145" customWidth="1"/>
    <col min="7" max="7" width="13.140625" style="5" customWidth="1"/>
    <col min="8" max="8" width="12.7109375" style="145" customWidth="1"/>
    <col min="9" max="9" width="14.140625" style="29" customWidth="1"/>
    <col min="10" max="10" width="21.140625" style="5" customWidth="1"/>
    <col min="11" max="11" width="10.28515625" style="5" customWidth="1"/>
    <col min="12" max="14" width="9.140625" style="5" hidden="1" customWidth="1"/>
    <col min="15" max="16384" width="9.140625" style="5"/>
  </cols>
  <sheetData>
    <row r="1" spans="1:18" ht="29.25" customHeight="1" thickBot="1">
      <c r="A1" s="692" t="s">
        <v>500</v>
      </c>
      <c r="B1" s="692"/>
      <c r="C1" s="692"/>
      <c r="D1" s="692"/>
      <c r="E1" s="692"/>
      <c r="F1" s="692"/>
      <c r="G1" s="692"/>
      <c r="H1" s="692"/>
      <c r="I1" s="692"/>
      <c r="J1" s="692"/>
      <c r="K1" s="28"/>
      <c r="L1" s="28"/>
      <c r="M1" s="28"/>
      <c r="N1" s="28"/>
      <c r="O1" s="28"/>
      <c r="P1" s="28"/>
      <c r="Q1" s="28"/>
      <c r="R1" s="28"/>
    </row>
    <row r="2" spans="1:18" ht="40.5" customHeight="1" thickBot="1">
      <c r="A2" s="185" t="s">
        <v>0</v>
      </c>
      <c r="B2" s="2" t="s">
        <v>1</v>
      </c>
      <c r="C2" s="2" t="s">
        <v>96</v>
      </c>
      <c r="D2" s="2" t="s">
        <v>2</v>
      </c>
      <c r="E2" s="2" t="s">
        <v>95</v>
      </c>
      <c r="F2" s="2" t="s">
        <v>3</v>
      </c>
      <c r="G2" s="3" t="s">
        <v>97</v>
      </c>
      <c r="H2" s="2" t="s">
        <v>4</v>
      </c>
      <c r="I2" s="4" t="s">
        <v>98</v>
      </c>
      <c r="J2" s="2" t="s">
        <v>99</v>
      </c>
      <c r="K2" s="28"/>
      <c r="L2" s="28"/>
      <c r="M2" s="28"/>
      <c r="N2" s="28"/>
      <c r="O2" s="28"/>
      <c r="P2" s="28"/>
      <c r="Q2" s="28"/>
      <c r="R2" s="28"/>
    </row>
    <row r="3" spans="1:18" s="28" customFormat="1" ht="22.5" customHeight="1">
      <c r="A3" s="31">
        <v>3</v>
      </c>
      <c r="B3" s="31" t="s">
        <v>173</v>
      </c>
      <c r="C3" s="31" t="s">
        <v>5</v>
      </c>
      <c r="D3" s="31"/>
      <c r="E3" s="31"/>
      <c r="F3" s="31"/>
      <c r="G3" s="31"/>
      <c r="H3" s="194"/>
      <c r="I3" s="32"/>
      <c r="J3" s="271"/>
    </row>
    <row r="4" spans="1:18" s="28" customFormat="1" ht="21" customHeight="1">
      <c r="A4" s="31"/>
      <c r="B4" s="31"/>
      <c r="C4" s="31"/>
      <c r="D4" s="31">
        <v>2210</v>
      </c>
      <c r="E4" s="31" t="s">
        <v>15</v>
      </c>
      <c r="F4" s="31" t="s">
        <v>501</v>
      </c>
      <c r="G4" s="31" t="s">
        <v>43</v>
      </c>
      <c r="H4" s="194" t="s">
        <v>134</v>
      </c>
      <c r="I4" s="32"/>
      <c r="J4" s="271">
        <v>84</v>
      </c>
    </row>
    <row r="5" spans="1:18" s="28" customFormat="1" ht="21" customHeight="1">
      <c r="A5" s="31"/>
      <c r="B5" s="31"/>
      <c r="C5" s="31"/>
      <c r="D5" s="31">
        <v>2210</v>
      </c>
      <c r="E5" s="31" t="s">
        <v>19</v>
      </c>
      <c r="F5" s="31" t="s">
        <v>143</v>
      </c>
      <c r="G5" s="31" t="s">
        <v>144</v>
      </c>
      <c r="H5" s="194" t="s">
        <v>175</v>
      </c>
      <c r="I5" s="32"/>
      <c r="J5" s="271">
        <f>37.8+94.2</f>
        <v>132</v>
      </c>
    </row>
    <row r="6" spans="1:18" s="16" customFormat="1" ht="21" customHeight="1">
      <c r="A6" s="12"/>
      <c r="B6" s="12"/>
      <c r="C6" s="12"/>
      <c r="D6" s="12"/>
      <c r="E6" s="12"/>
      <c r="F6" s="15" t="s">
        <v>6</v>
      </c>
      <c r="G6" s="12"/>
      <c r="H6" s="17"/>
      <c r="I6" s="14"/>
      <c r="J6" s="209">
        <f>SUM(J3:J5)</f>
        <v>216</v>
      </c>
      <c r="K6" s="28"/>
      <c r="L6" s="28"/>
      <c r="M6" s="28"/>
      <c r="N6" s="28"/>
      <c r="O6" s="28"/>
      <c r="P6" s="28"/>
      <c r="Q6" s="28"/>
      <c r="R6" s="28"/>
    </row>
    <row r="7" spans="1:18" s="28" customFormat="1" ht="21" customHeight="1">
      <c r="A7" s="31">
        <v>10</v>
      </c>
      <c r="B7" s="31" t="s">
        <v>33</v>
      </c>
      <c r="C7" s="31" t="s">
        <v>136</v>
      </c>
      <c r="D7" s="31"/>
      <c r="E7" s="31"/>
      <c r="F7" s="31"/>
      <c r="G7" s="31"/>
      <c r="H7" s="194"/>
      <c r="I7" s="32"/>
      <c r="J7" s="271"/>
    </row>
    <row r="8" spans="1:18" s="28" customFormat="1" ht="21" customHeight="1">
      <c r="A8" s="31"/>
      <c r="B8" s="31"/>
      <c r="C8" s="31"/>
      <c r="D8" s="31">
        <v>2210</v>
      </c>
      <c r="E8" s="31" t="s">
        <v>15</v>
      </c>
      <c r="F8" s="31" t="s">
        <v>502</v>
      </c>
      <c r="G8" s="31" t="s">
        <v>157</v>
      </c>
      <c r="H8" s="35">
        <v>12</v>
      </c>
      <c r="I8" s="32"/>
      <c r="J8" s="271">
        <v>105</v>
      </c>
    </row>
    <row r="9" spans="1:18" s="28" customFormat="1" ht="21" customHeight="1">
      <c r="A9" s="31"/>
      <c r="B9" s="31"/>
      <c r="C9" s="31"/>
      <c r="D9" s="31">
        <v>2210</v>
      </c>
      <c r="E9" s="31" t="s">
        <v>15</v>
      </c>
      <c r="F9" s="31" t="s">
        <v>503</v>
      </c>
      <c r="G9" s="31" t="s">
        <v>142</v>
      </c>
      <c r="H9" s="35">
        <v>10</v>
      </c>
      <c r="I9" s="32"/>
      <c r="J9" s="271">
        <v>219.5</v>
      </c>
    </row>
    <row r="10" spans="1:18" s="28" customFormat="1" ht="21" customHeight="1">
      <c r="A10" s="31"/>
      <c r="B10" s="31"/>
      <c r="C10" s="31"/>
      <c r="D10" s="31">
        <v>2210</v>
      </c>
      <c r="E10" s="31" t="s">
        <v>15</v>
      </c>
      <c r="F10" s="31" t="s">
        <v>504</v>
      </c>
      <c r="G10" s="31" t="s">
        <v>157</v>
      </c>
      <c r="H10" s="35">
        <v>32</v>
      </c>
      <c r="I10" s="32"/>
      <c r="J10" s="271">
        <v>1444.81</v>
      </c>
      <c r="P10" s="265"/>
    </row>
    <row r="11" spans="1:18" s="28" customFormat="1" ht="21" customHeight="1">
      <c r="A11" s="31"/>
      <c r="B11" s="31"/>
      <c r="C11" s="31"/>
      <c r="D11" s="31">
        <v>2210</v>
      </c>
      <c r="E11" s="31" t="s">
        <v>15</v>
      </c>
      <c r="F11" s="31" t="s">
        <v>505</v>
      </c>
      <c r="G11" s="31" t="s">
        <v>43</v>
      </c>
      <c r="H11" s="35">
        <v>1</v>
      </c>
      <c r="I11" s="32"/>
      <c r="J11" s="271">
        <v>78.34</v>
      </c>
    </row>
    <row r="12" spans="1:18" s="28" customFormat="1" ht="21" customHeight="1">
      <c r="A12" s="31"/>
      <c r="B12" s="31"/>
      <c r="C12" s="31"/>
      <c r="D12" s="31">
        <v>2210</v>
      </c>
      <c r="E12" s="31" t="s">
        <v>19</v>
      </c>
      <c r="F12" s="31"/>
      <c r="G12" s="31"/>
      <c r="H12" s="35"/>
      <c r="I12" s="32"/>
      <c r="J12" s="271"/>
    </row>
    <row r="13" spans="1:18" s="16" customFormat="1" ht="21" customHeight="1">
      <c r="A13" s="12"/>
      <c r="B13" s="12"/>
      <c r="C13" s="12"/>
      <c r="D13" s="12"/>
      <c r="E13" s="12"/>
      <c r="F13" s="15" t="s">
        <v>6</v>
      </c>
      <c r="G13" s="12"/>
      <c r="H13" s="17"/>
      <c r="I13" s="14"/>
      <c r="J13" s="209">
        <f>SUM(J7:J12)</f>
        <v>1847.6499999999999</v>
      </c>
      <c r="K13" s="28"/>
      <c r="L13" s="28"/>
      <c r="M13" s="28"/>
      <c r="N13" s="28"/>
      <c r="O13" s="28"/>
      <c r="P13" s="28"/>
      <c r="Q13" s="28"/>
      <c r="R13" s="28"/>
    </row>
    <row r="14" spans="1:18" s="23" customFormat="1" ht="21" customHeight="1">
      <c r="A14" s="708" t="s">
        <v>178</v>
      </c>
      <c r="B14" s="708"/>
      <c r="C14" s="708"/>
      <c r="D14" s="708"/>
      <c r="E14" s="708"/>
      <c r="F14" s="708"/>
      <c r="G14" s="708"/>
      <c r="H14" s="708"/>
      <c r="I14" s="708"/>
      <c r="J14" s="272">
        <f>J13+J6</f>
        <v>2063.6499999999996</v>
      </c>
      <c r="K14" s="38"/>
    </row>
    <row r="15" spans="1:18" customFormat="1" ht="21" customHeight="1">
      <c r="A15" s="7">
        <v>16</v>
      </c>
      <c r="B15" s="237" t="s">
        <v>273</v>
      </c>
      <c r="C15" s="158" t="s">
        <v>5</v>
      </c>
      <c r="D15" s="10">
        <v>2210</v>
      </c>
      <c r="E15" s="10">
        <v>1113</v>
      </c>
      <c r="F15" s="157" t="s">
        <v>506</v>
      </c>
      <c r="G15" s="10" t="s">
        <v>195</v>
      </c>
      <c r="H15" s="10">
        <v>3</v>
      </c>
      <c r="I15" s="9"/>
      <c r="J15" s="273">
        <v>12300</v>
      </c>
    </row>
    <row r="16" spans="1:18" customFormat="1" ht="21" customHeight="1">
      <c r="A16" s="7"/>
      <c r="B16" s="237"/>
      <c r="C16" s="158"/>
      <c r="D16" s="10">
        <v>2210</v>
      </c>
      <c r="E16" s="10">
        <v>1113</v>
      </c>
      <c r="F16" s="157" t="s">
        <v>53</v>
      </c>
      <c r="G16" s="10" t="s">
        <v>195</v>
      </c>
      <c r="H16" s="10">
        <v>2</v>
      </c>
      <c r="I16" s="9"/>
      <c r="J16" s="273">
        <f>2300+5700</f>
        <v>8000</v>
      </c>
    </row>
    <row r="17" spans="1:19" customFormat="1" ht="21" customHeight="1">
      <c r="A17" s="7"/>
      <c r="B17" s="237"/>
      <c r="C17" s="158"/>
      <c r="D17" s="10">
        <v>2210</v>
      </c>
      <c r="E17" s="10">
        <v>1113</v>
      </c>
      <c r="F17" s="157" t="s">
        <v>507</v>
      </c>
      <c r="G17" s="10" t="s">
        <v>195</v>
      </c>
      <c r="H17" s="10">
        <v>1</v>
      </c>
      <c r="I17" s="9"/>
      <c r="J17" s="273">
        <v>4000</v>
      </c>
    </row>
    <row r="18" spans="1:19" customFormat="1" ht="21" customHeight="1">
      <c r="A18" s="7"/>
      <c r="B18" s="237"/>
      <c r="C18" s="158"/>
      <c r="D18" s="10">
        <v>2210</v>
      </c>
      <c r="E18" s="10">
        <v>1113</v>
      </c>
      <c r="F18" s="157" t="s">
        <v>508</v>
      </c>
      <c r="G18" s="10" t="s">
        <v>195</v>
      </c>
      <c r="H18" s="10">
        <v>1</v>
      </c>
      <c r="I18" s="9"/>
      <c r="J18" s="273">
        <v>4000</v>
      </c>
    </row>
    <row r="19" spans="1:19" customFormat="1" ht="21" customHeight="1">
      <c r="A19" s="7"/>
      <c r="B19" s="237"/>
      <c r="C19" s="158"/>
      <c r="D19" s="10">
        <v>2210</v>
      </c>
      <c r="E19" s="10">
        <v>1113</v>
      </c>
      <c r="F19" s="157" t="s">
        <v>509</v>
      </c>
      <c r="G19" s="10" t="s">
        <v>195</v>
      </c>
      <c r="H19" s="10">
        <v>1</v>
      </c>
      <c r="I19" s="9"/>
      <c r="J19" s="273">
        <v>1000</v>
      </c>
    </row>
    <row r="20" spans="1:19" customFormat="1" ht="21" customHeight="1">
      <c r="A20" s="7"/>
      <c r="B20" s="237"/>
      <c r="C20" s="158"/>
      <c r="D20" s="10">
        <v>2210</v>
      </c>
      <c r="E20" s="10">
        <v>1113</v>
      </c>
      <c r="F20" s="157" t="s">
        <v>510</v>
      </c>
      <c r="G20" s="10" t="s">
        <v>195</v>
      </c>
      <c r="H20" s="10">
        <v>1</v>
      </c>
      <c r="I20" s="9"/>
      <c r="J20" s="273">
        <v>2500</v>
      </c>
    </row>
    <row r="21" spans="1:19" customFormat="1" ht="21" customHeight="1">
      <c r="A21" s="7"/>
      <c r="B21" s="237"/>
      <c r="C21" s="158"/>
      <c r="D21" s="10">
        <v>2210</v>
      </c>
      <c r="E21" s="10">
        <v>1113</v>
      </c>
      <c r="F21" s="157" t="s">
        <v>511</v>
      </c>
      <c r="G21" s="10" t="s">
        <v>195</v>
      </c>
      <c r="H21" s="10">
        <v>1</v>
      </c>
      <c r="I21" s="9"/>
      <c r="J21" s="273">
        <v>3700</v>
      </c>
    </row>
    <row r="22" spans="1:19" customFormat="1" ht="21" customHeight="1">
      <c r="A22" s="7"/>
      <c r="B22" s="237"/>
      <c r="C22" s="158"/>
      <c r="D22" s="10">
        <v>2210</v>
      </c>
      <c r="E22" s="10">
        <v>1113</v>
      </c>
      <c r="F22" s="157" t="s">
        <v>512</v>
      </c>
      <c r="G22" s="10" t="s">
        <v>195</v>
      </c>
      <c r="H22" s="10">
        <v>1</v>
      </c>
      <c r="I22" s="9"/>
      <c r="J22" s="273">
        <v>1000</v>
      </c>
    </row>
    <row r="23" spans="1:19" customFormat="1" ht="21" customHeight="1">
      <c r="A23" s="7"/>
      <c r="B23" s="237"/>
      <c r="C23" s="158"/>
      <c r="D23" s="10">
        <v>2210</v>
      </c>
      <c r="E23" s="10">
        <v>1113</v>
      </c>
      <c r="F23" s="157" t="s">
        <v>513</v>
      </c>
      <c r="G23" s="10" t="s">
        <v>195</v>
      </c>
      <c r="H23" s="10">
        <v>1</v>
      </c>
      <c r="I23" s="9"/>
      <c r="J23" s="273">
        <v>500</v>
      </c>
      <c r="K23" s="1"/>
      <c r="L23" s="1"/>
      <c r="M23" s="1"/>
      <c r="N23" s="1"/>
      <c r="O23" s="1"/>
      <c r="P23" s="1"/>
      <c r="Q23" s="1"/>
      <c r="R23" s="1"/>
      <c r="S23" s="1"/>
    </row>
    <row r="24" spans="1:19" s="252" customFormat="1" ht="21" customHeight="1">
      <c r="A24" s="247"/>
      <c r="B24" s="248"/>
      <c r="C24" s="249"/>
      <c r="D24" s="249"/>
      <c r="E24" s="249"/>
      <c r="F24" s="257" t="s">
        <v>6</v>
      </c>
      <c r="G24" s="250"/>
      <c r="H24" s="249"/>
      <c r="I24" s="251"/>
      <c r="J24" s="274">
        <f>SUM(J15:J23)</f>
        <v>37000</v>
      </c>
      <c r="K24" s="1"/>
      <c r="L24" s="1"/>
      <c r="M24" s="1"/>
      <c r="N24" s="1"/>
      <c r="O24" s="1"/>
      <c r="P24" s="1"/>
      <c r="Q24" s="1"/>
      <c r="R24" s="1"/>
      <c r="S24" s="1"/>
    </row>
    <row r="25" spans="1:19" s="1" customFormat="1" ht="21" customHeight="1">
      <c r="A25" s="39">
        <v>17</v>
      </c>
      <c r="B25" s="41" t="s">
        <v>172</v>
      </c>
      <c r="C25" s="41" t="s">
        <v>5</v>
      </c>
      <c r="D25" s="41">
        <v>2210</v>
      </c>
      <c r="E25" s="41" t="s">
        <v>15</v>
      </c>
      <c r="F25" s="233" t="s">
        <v>514</v>
      </c>
      <c r="G25" s="45" t="s">
        <v>142</v>
      </c>
      <c r="H25" s="41">
        <v>8</v>
      </c>
      <c r="I25" s="61"/>
      <c r="J25" s="275">
        <v>84</v>
      </c>
    </row>
    <row r="26" spans="1:19" s="1" customFormat="1" ht="21" customHeight="1">
      <c r="A26" s="39"/>
      <c r="B26" s="41"/>
      <c r="C26" s="41"/>
      <c r="D26" s="41">
        <v>2210</v>
      </c>
      <c r="E26" s="41" t="s">
        <v>15</v>
      </c>
      <c r="F26" s="233" t="s">
        <v>515</v>
      </c>
      <c r="G26" s="45" t="s">
        <v>13</v>
      </c>
      <c r="H26" s="41">
        <v>3</v>
      </c>
      <c r="I26" s="61"/>
      <c r="J26" s="275">
        <v>55.2</v>
      </c>
    </row>
    <row r="27" spans="1:19" customFormat="1" ht="21" customHeight="1">
      <c r="A27" s="72"/>
      <c r="B27" s="74"/>
      <c r="C27" s="74"/>
      <c r="D27" s="74"/>
      <c r="E27" s="74"/>
      <c r="F27" s="255" t="s">
        <v>6</v>
      </c>
      <c r="G27" s="87"/>
      <c r="H27" s="74"/>
      <c r="I27" s="246"/>
      <c r="J27" s="86">
        <f>SUM(J25:J26)</f>
        <v>139.19999999999999</v>
      </c>
      <c r="K27" s="1"/>
      <c r="L27" s="1"/>
      <c r="M27" s="1"/>
      <c r="N27" s="1"/>
      <c r="O27" s="1"/>
      <c r="P27" s="1"/>
      <c r="Q27" s="1"/>
      <c r="R27" s="1"/>
      <c r="S27" s="1"/>
    </row>
    <row r="28" spans="1:19" s="270" customFormat="1" ht="21" customHeight="1">
      <c r="A28" s="68"/>
      <c r="B28" s="142"/>
      <c r="C28" s="142"/>
      <c r="D28" s="142"/>
      <c r="E28" s="142"/>
      <c r="F28" s="268" t="s">
        <v>177</v>
      </c>
      <c r="G28" s="69"/>
      <c r="H28" s="142"/>
      <c r="I28" s="70"/>
      <c r="J28" s="276">
        <f>J27+J24</f>
        <v>37139.199999999997</v>
      </c>
    </row>
    <row r="29" spans="1:19" customFormat="1" ht="21.75" customHeight="1" thickBot="1">
      <c r="A29" s="68"/>
      <c r="B29" s="704" t="s">
        <v>176</v>
      </c>
      <c r="C29" s="705"/>
      <c r="D29" s="705"/>
      <c r="E29" s="705"/>
      <c r="F29" s="706"/>
      <c r="G29" s="91"/>
      <c r="H29" s="143"/>
      <c r="I29" s="92"/>
      <c r="J29" s="93">
        <f>J28+J14</f>
        <v>39202.85</v>
      </c>
      <c r="K29" s="1"/>
      <c r="L29" s="1"/>
      <c r="M29" s="1"/>
      <c r="N29" s="1"/>
      <c r="O29" s="1"/>
      <c r="P29" s="1"/>
      <c r="Q29" s="1"/>
      <c r="R29" s="1"/>
      <c r="S29" s="1"/>
    </row>
    <row r="30" spans="1:19" s="1" customFormat="1" ht="21.75" customHeight="1">
      <c r="A30" s="180"/>
      <c r="B30" s="181"/>
      <c r="C30" s="181"/>
      <c r="D30" s="181"/>
      <c r="E30" s="181"/>
      <c r="F30" s="181"/>
      <c r="G30" s="182"/>
      <c r="H30" s="181"/>
      <c r="I30" s="182"/>
      <c r="J30" s="183"/>
    </row>
    <row r="31" spans="1:19" s="1" customFormat="1" ht="21.75" customHeight="1">
      <c r="A31" s="180"/>
      <c r="B31" s="707" t="s">
        <v>305</v>
      </c>
      <c r="C31" s="707"/>
      <c r="D31" s="707"/>
      <c r="E31" s="707"/>
      <c r="F31" s="181"/>
      <c r="G31" s="182"/>
      <c r="H31" s="181"/>
      <c r="I31" s="182"/>
      <c r="J31" s="183"/>
    </row>
    <row r="32" spans="1:19" customFormat="1" ht="18.75">
      <c r="A32" s="62"/>
      <c r="B32" s="707"/>
      <c r="C32" s="707"/>
      <c r="D32" s="707"/>
      <c r="E32" s="63"/>
      <c r="F32" s="179"/>
      <c r="G32" s="63"/>
      <c r="H32" s="64"/>
      <c r="I32" s="63"/>
      <c r="J32" s="65"/>
      <c r="K32" s="1"/>
      <c r="L32" s="1"/>
      <c r="M32" s="1"/>
      <c r="N32" s="1"/>
      <c r="O32" s="1"/>
      <c r="P32" s="1"/>
      <c r="Q32" s="1"/>
      <c r="R32" s="1"/>
      <c r="S32" s="1"/>
    </row>
    <row r="33" spans="1:19" customFormat="1" ht="18.75">
      <c r="A33" s="62"/>
      <c r="B33" s="707"/>
      <c r="C33" s="707"/>
      <c r="D33" s="707"/>
      <c r="E33" s="707"/>
      <c r="F33" s="66"/>
      <c r="G33" s="63"/>
      <c r="H33" s="64"/>
      <c r="I33" s="63"/>
      <c r="J33" s="65"/>
      <c r="K33" s="1"/>
      <c r="L33" s="1"/>
      <c r="M33" s="1"/>
      <c r="N33" s="1"/>
      <c r="O33" s="1"/>
      <c r="P33" s="1"/>
      <c r="Q33" s="1"/>
      <c r="R33" s="1"/>
      <c r="S33" s="1"/>
    </row>
    <row r="34" spans="1:19" ht="18.75">
      <c r="A34" s="25"/>
      <c r="B34" s="26"/>
      <c r="C34" s="26"/>
      <c r="D34" s="26"/>
      <c r="E34" s="26"/>
      <c r="F34" s="26"/>
      <c r="G34" s="26"/>
      <c r="H34" s="26"/>
      <c r="I34" s="27"/>
      <c r="J34" s="26"/>
      <c r="K34" s="28"/>
      <c r="L34" s="28"/>
      <c r="M34" s="28"/>
      <c r="N34" s="28"/>
      <c r="O34" s="28"/>
      <c r="P34" s="28"/>
      <c r="Q34" s="28"/>
      <c r="R34" s="28"/>
      <c r="S34" s="28"/>
    </row>
    <row r="35" spans="1:19" ht="18.75">
      <c r="A35" s="25"/>
      <c r="B35" s="26"/>
      <c r="C35" s="26"/>
      <c r="D35" s="26"/>
      <c r="E35" s="26"/>
      <c r="F35" s="26"/>
      <c r="G35" s="26"/>
      <c r="H35" s="26"/>
      <c r="I35" s="27"/>
      <c r="J35" s="26"/>
      <c r="K35" s="28"/>
      <c r="L35" s="28"/>
      <c r="M35" s="28"/>
      <c r="N35" s="28"/>
      <c r="O35" s="28"/>
      <c r="P35" s="28"/>
      <c r="Q35" s="28"/>
      <c r="R35" s="28"/>
      <c r="S35" s="28"/>
    </row>
    <row r="36" spans="1:19" ht="18.75">
      <c r="A36" s="25"/>
      <c r="B36" s="26"/>
      <c r="C36" s="26"/>
      <c r="D36" s="26"/>
      <c r="E36" s="26"/>
      <c r="F36" s="26"/>
      <c r="G36" s="26"/>
      <c r="H36" s="26"/>
      <c r="I36" s="27"/>
      <c r="J36" s="26"/>
    </row>
    <row r="37" spans="1:19" ht="18.75">
      <c r="A37" s="25"/>
      <c r="B37" s="25"/>
      <c r="C37" s="25"/>
      <c r="D37" s="25"/>
      <c r="E37" s="25"/>
      <c r="F37" s="26"/>
      <c r="G37" s="25"/>
      <c r="H37" s="26"/>
      <c r="I37" s="30"/>
      <c r="J37" s="25"/>
    </row>
    <row r="38" spans="1:19" ht="18.75">
      <c r="A38" s="25"/>
      <c r="B38" s="25"/>
      <c r="C38" s="25"/>
      <c r="D38" s="25"/>
      <c r="E38" s="25"/>
      <c r="F38" s="26"/>
      <c r="G38" s="25"/>
      <c r="H38" s="26"/>
      <c r="I38" s="30"/>
      <c r="J38" s="25"/>
    </row>
    <row r="39" spans="1:19" ht="18.75">
      <c r="A39" s="25"/>
      <c r="B39" s="25"/>
      <c r="C39" s="25"/>
      <c r="D39" s="25"/>
      <c r="E39" s="25"/>
      <c r="F39" s="26"/>
      <c r="G39" s="25"/>
      <c r="H39" s="26"/>
      <c r="I39" s="30"/>
      <c r="J39" s="25"/>
    </row>
    <row r="40" spans="1:19" ht="18.75">
      <c r="A40" s="24"/>
      <c r="B40" s="24"/>
      <c r="C40" s="24"/>
      <c r="D40" s="24"/>
      <c r="E40" s="24"/>
      <c r="F40" s="144"/>
      <c r="G40" s="24"/>
      <c r="H40" s="144"/>
      <c r="I40" s="33"/>
      <c r="J40" s="24"/>
    </row>
    <row r="41" spans="1:19" ht="18.75">
      <c r="A41" s="24"/>
      <c r="B41" s="24"/>
      <c r="C41" s="24"/>
      <c r="D41" s="24"/>
      <c r="E41" s="24"/>
      <c r="F41" s="144"/>
      <c r="G41" s="24"/>
      <c r="H41" s="144"/>
      <c r="I41" s="33"/>
      <c r="J41" s="24"/>
    </row>
    <row r="42" spans="1:19" ht="18.75">
      <c r="A42" s="24"/>
      <c r="B42" s="24"/>
      <c r="C42" s="24"/>
      <c r="D42" s="24"/>
      <c r="E42" s="24"/>
      <c r="F42" s="144"/>
      <c r="G42" s="24"/>
      <c r="H42" s="144"/>
      <c r="I42" s="33"/>
      <c r="J42" s="24"/>
    </row>
    <row r="43" spans="1:19" ht="18.75">
      <c r="A43" s="24"/>
      <c r="B43" s="24"/>
      <c r="C43" s="24"/>
      <c r="D43" s="24"/>
      <c r="E43" s="24"/>
      <c r="F43" s="144"/>
      <c r="G43" s="24"/>
      <c r="H43" s="144"/>
      <c r="I43" s="33"/>
      <c r="J43" s="24"/>
    </row>
    <row r="44" spans="1:19" ht="18.75">
      <c r="A44" s="24"/>
      <c r="B44" s="24"/>
      <c r="C44" s="24"/>
      <c r="D44" s="24"/>
      <c r="E44" s="24"/>
      <c r="F44" s="144"/>
      <c r="G44" s="24"/>
      <c r="H44" s="144"/>
      <c r="I44" s="33"/>
      <c r="J44" s="24"/>
    </row>
    <row r="45" spans="1:19" ht="18.75">
      <c r="A45" s="24"/>
      <c r="B45" s="24"/>
      <c r="C45" s="24"/>
      <c r="D45" s="24"/>
      <c r="E45" s="24"/>
      <c r="F45" s="144"/>
      <c r="G45" s="24"/>
      <c r="H45" s="144"/>
      <c r="I45" s="33"/>
      <c r="J45" s="24"/>
    </row>
    <row r="46" spans="1:19" ht="18.75">
      <c r="A46" s="24"/>
      <c r="B46" s="24"/>
      <c r="C46" s="24"/>
      <c r="D46" s="24"/>
      <c r="E46" s="24"/>
      <c r="F46" s="144"/>
      <c r="G46" s="24"/>
      <c r="H46" s="144"/>
      <c r="I46" s="33"/>
      <c r="J46" s="24"/>
    </row>
    <row r="47" spans="1:19" ht="18.75">
      <c r="A47" s="24"/>
      <c r="B47" s="24"/>
      <c r="C47" s="24"/>
      <c r="D47" s="24"/>
      <c r="E47" s="24"/>
      <c r="F47" s="144"/>
      <c r="G47" s="24"/>
      <c r="H47" s="144"/>
      <c r="I47" s="33"/>
      <c r="J47" s="24"/>
    </row>
    <row r="48" spans="1:19" ht="18.75">
      <c r="A48" s="24"/>
      <c r="B48" s="24"/>
      <c r="C48" s="24"/>
      <c r="D48" s="24"/>
      <c r="E48" s="24"/>
      <c r="F48" s="144"/>
      <c r="G48" s="24"/>
      <c r="H48" s="144"/>
      <c r="I48" s="33"/>
      <c r="J48" s="24"/>
    </row>
    <row r="49" spans="1:10" ht="18.75">
      <c r="A49" s="24"/>
      <c r="B49" s="24"/>
      <c r="C49" s="24"/>
      <c r="D49" s="24"/>
      <c r="E49" s="24"/>
      <c r="F49" s="144"/>
      <c r="G49" s="24"/>
      <c r="H49" s="144"/>
      <c r="I49" s="33"/>
      <c r="J49" s="24"/>
    </row>
    <row r="50" spans="1:10" ht="18.75">
      <c r="A50" s="24"/>
      <c r="B50" s="24"/>
      <c r="C50" s="24"/>
      <c r="D50" s="24"/>
      <c r="E50" s="24"/>
      <c r="F50" s="144"/>
      <c r="G50" s="24"/>
      <c r="H50" s="144"/>
      <c r="I50" s="33"/>
      <c r="J50" s="24"/>
    </row>
    <row r="51" spans="1:10" ht="18.75">
      <c r="A51" s="24"/>
      <c r="B51" s="24"/>
      <c r="C51" s="24"/>
      <c r="D51" s="24"/>
      <c r="E51" s="24"/>
      <c r="F51" s="144"/>
      <c r="G51" s="24"/>
      <c r="H51" s="144"/>
      <c r="I51" s="33"/>
      <c r="J51" s="24"/>
    </row>
    <row r="52" spans="1:10" ht="18.75">
      <c r="A52" s="24"/>
      <c r="B52" s="24"/>
      <c r="C52" s="24"/>
      <c r="D52" s="24"/>
      <c r="E52" s="24"/>
      <c r="F52" s="144"/>
      <c r="G52" s="24"/>
      <c r="H52" s="144"/>
      <c r="I52" s="33"/>
      <c r="J52" s="24"/>
    </row>
    <row r="53" spans="1:10" ht="18.75">
      <c r="A53" s="24"/>
      <c r="B53" s="24"/>
      <c r="C53" s="24"/>
      <c r="D53" s="24"/>
      <c r="E53" s="24"/>
      <c r="F53" s="144"/>
      <c r="G53" s="24"/>
      <c r="H53" s="144"/>
      <c r="I53" s="33"/>
      <c r="J53" s="24"/>
    </row>
    <row r="54" spans="1:10" ht="18.75">
      <c r="A54" s="24"/>
      <c r="B54" s="24"/>
      <c r="C54" s="24"/>
      <c r="D54" s="24"/>
      <c r="E54" s="24"/>
      <c r="F54" s="144"/>
      <c r="G54" s="24"/>
      <c r="H54" s="144"/>
      <c r="I54" s="33"/>
      <c r="J54" s="24"/>
    </row>
    <row r="55" spans="1:10" ht="18.75">
      <c r="A55" s="24"/>
      <c r="B55" s="24"/>
      <c r="C55" s="24"/>
      <c r="D55" s="24"/>
      <c r="E55" s="24"/>
      <c r="F55" s="144"/>
      <c r="G55" s="24"/>
      <c r="H55" s="144"/>
      <c r="I55" s="33"/>
      <c r="J55" s="24"/>
    </row>
    <row r="56" spans="1:10" ht="18.75">
      <c r="A56" s="24"/>
      <c r="B56" s="24"/>
      <c r="C56" s="24"/>
      <c r="D56" s="24"/>
      <c r="E56" s="24"/>
      <c r="F56" s="144"/>
      <c r="G56" s="24"/>
      <c r="H56" s="144"/>
      <c r="I56" s="33"/>
      <c r="J56" s="24"/>
    </row>
  </sheetData>
  <mergeCells count="6">
    <mergeCell ref="B32:D32"/>
    <mergeCell ref="B33:E33"/>
    <mergeCell ref="A1:J1"/>
    <mergeCell ref="A14:I14"/>
    <mergeCell ref="B29:F29"/>
    <mergeCell ref="B31:E31"/>
  </mergeCells>
  <phoneticPr fontId="21" type="noConversion"/>
  <pageMargins left="0.75" right="0.75" top="1" bottom="1" header="0.5" footer="0.5"/>
  <pageSetup paperSize="9" scale="40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 enableFormatConditionsCalculation="0">
    <tabColor indexed="14"/>
  </sheetPr>
  <dimension ref="A1:S103"/>
  <sheetViews>
    <sheetView topLeftCell="A64" zoomScale="75" workbookViewId="0">
      <selection activeCell="H100" sqref="H100"/>
    </sheetView>
  </sheetViews>
  <sheetFormatPr defaultRowHeight="23.25"/>
  <cols>
    <col min="1" max="1" width="6.7109375" style="280" customWidth="1"/>
    <col min="2" max="2" width="19.42578125" style="280" customWidth="1"/>
    <col min="3" max="3" width="19.140625" style="280" customWidth="1"/>
    <col min="4" max="4" width="11" style="280" customWidth="1"/>
    <col min="5" max="5" width="13" style="280" customWidth="1"/>
    <col min="6" max="6" width="74.42578125" style="278" customWidth="1"/>
    <col min="7" max="7" width="13.140625" style="280" customWidth="1"/>
    <col min="8" max="8" width="12.7109375" style="278" customWidth="1"/>
    <col min="9" max="9" width="16.85546875" style="352" customWidth="1"/>
    <col min="10" max="10" width="21.140625" style="280" customWidth="1"/>
    <col min="11" max="11" width="10.28515625" style="280" customWidth="1"/>
    <col min="12" max="14" width="9.140625" style="280" hidden="1" customWidth="1"/>
    <col min="15" max="16384" width="9.140625" style="280"/>
  </cols>
  <sheetData>
    <row r="1" spans="1:18" ht="29.25" customHeight="1" thickBot="1">
      <c r="A1" s="712" t="s">
        <v>516</v>
      </c>
      <c r="B1" s="712"/>
      <c r="C1" s="712"/>
      <c r="D1" s="712"/>
      <c r="E1" s="712"/>
      <c r="F1" s="712"/>
      <c r="G1" s="712"/>
      <c r="H1" s="712"/>
      <c r="I1" s="712"/>
      <c r="J1" s="712"/>
      <c r="K1" s="279"/>
      <c r="L1" s="279"/>
      <c r="M1" s="279"/>
      <c r="N1" s="279"/>
      <c r="O1" s="279"/>
      <c r="P1" s="279"/>
      <c r="Q1" s="279"/>
      <c r="R1" s="279"/>
    </row>
    <row r="2" spans="1:18" ht="50.25" customHeight="1" thickBot="1">
      <c r="A2" s="281" t="s">
        <v>0</v>
      </c>
      <c r="B2" s="282" t="s">
        <v>1</v>
      </c>
      <c r="C2" s="282" t="s">
        <v>96</v>
      </c>
      <c r="D2" s="282" t="s">
        <v>2</v>
      </c>
      <c r="E2" s="282" t="s">
        <v>95</v>
      </c>
      <c r="F2" s="282" t="s">
        <v>3</v>
      </c>
      <c r="G2" s="283" t="s">
        <v>97</v>
      </c>
      <c r="H2" s="282" t="s">
        <v>4</v>
      </c>
      <c r="I2" s="284" t="s">
        <v>98</v>
      </c>
      <c r="J2" s="282" t="s">
        <v>99</v>
      </c>
      <c r="K2" s="279"/>
      <c r="L2" s="279"/>
      <c r="M2" s="279"/>
      <c r="N2" s="279"/>
      <c r="O2" s="279"/>
      <c r="P2" s="279"/>
      <c r="Q2" s="279"/>
      <c r="R2" s="279"/>
    </row>
    <row r="3" spans="1:18" ht="29.25" customHeight="1">
      <c r="A3" s="285">
        <v>1</v>
      </c>
      <c r="B3" s="285" t="s">
        <v>179</v>
      </c>
      <c r="C3" s="285" t="s">
        <v>5</v>
      </c>
      <c r="D3" s="285">
        <v>2220</v>
      </c>
      <c r="E3" s="285">
        <v>1512</v>
      </c>
      <c r="F3" s="285" t="s">
        <v>469</v>
      </c>
      <c r="G3" s="285" t="s">
        <v>529</v>
      </c>
      <c r="H3" s="286">
        <v>900</v>
      </c>
      <c r="I3" s="287">
        <v>0.9</v>
      </c>
      <c r="J3" s="288">
        <f>I3*H3</f>
        <v>810</v>
      </c>
      <c r="K3" s="279"/>
      <c r="L3" s="279"/>
      <c r="M3" s="279"/>
      <c r="N3" s="279"/>
      <c r="O3" s="279"/>
      <c r="P3" s="279"/>
      <c r="Q3" s="279"/>
      <c r="R3" s="279"/>
    </row>
    <row r="4" spans="1:18" ht="35.25" customHeight="1">
      <c r="A4" s="285"/>
      <c r="B4" s="285"/>
      <c r="C4" s="659" t="s">
        <v>527</v>
      </c>
      <c r="D4" s="285">
        <v>2220</v>
      </c>
      <c r="E4" s="285">
        <v>1512</v>
      </c>
      <c r="F4" s="285" t="s">
        <v>528</v>
      </c>
      <c r="G4" s="285" t="s">
        <v>142</v>
      </c>
      <c r="H4" s="286">
        <v>30</v>
      </c>
      <c r="I4" s="287">
        <v>8.1999999999999993</v>
      </c>
      <c r="J4" s="288">
        <f>I4*H4</f>
        <v>245.99999999999997</v>
      </c>
      <c r="K4" s="279"/>
      <c r="L4" s="279"/>
      <c r="M4" s="279"/>
      <c r="N4" s="279"/>
      <c r="O4" s="279"/>
      <c r="P4" s="279"/>
      <c r="Q4" s="279"/>
      <c r="R4" s="279"/>
    </row>
    <row r="5" spans="1:18" ht="30" customHeight="1">
      <c r="A5" s="285"/>
      <c r="B5" s="285"/>
      <c r="C5" s="285" t="s">
        <v>5</v>
      </c>
      <c r="D5" s="285">
        <v>2210</v>
      </c>
      <c r="E5" s="285" t="s">
        <v>19</v>
      </c>
      <c r="F5" s="285" t="s">
        <v>180</v>
      </c>
      <c r="G5" s="285" t="s">
        <v>43</v>
      </c>
      <c r="H5" s="286">
        <v>24</v>
      </c>
      <c r="I5" s="287">
        <v>4.5</v>
      </c>
      <c r="J5" s="288">
        <f>I5*H5</f>
        <v>108</v>
      </c>
      <c r="K5" s="279"/>
      <c r="L5" s="279"/>
      <c r="M5" s="279"/>
      <c r="N5" s="279"/>
      <c r="O5" s="279"/>
      <c r="P5" s="279"/>
      <c r="Q5" s="279"/>
      <c r="R5" s="279"/>
    </row>
    <row r="6" spans="1:18" ht="30" customHeight="1">
      <c r="A6" s="285"/>
      <c r="B6" s="285"/>
      <c r="C6" s="285" t="s">
        <v>5</v>
      </c>
      <c r="D6" s="285">
        <v>2210</v>
      </c>
      <c r="E6" s="285">
        <v>1113</v>
      </c>
      <c r="F6" s="285" t="s">
        <v>530</v>
      </c>
      <c r="G6" s="285" t="s">
        <v>43</v>
      </c>
      <c r="H6" s="286">
        <v>1</v>
      </c>
      <c r="I6" s="287">
        <v>2200</v>
      </c>
      <c r="J6" s="288">
        <f>I6*H6</f>
        <v>2200</v>
      </c>
      <c r="K6" s="279"/>
      <c r="L6" s="279"/>
      <c r="M6" s="279"/>
      <c r="N6" s="279"/>
      <c r="O6" s="279"/>
      <c r="P6" s="279"/>
      <c r="Q6" s="279"/>
      <c r="R6" s="279"/>
    </row>
    <row r="7" spans="1:18" ht="30" customHeight="1">
      <c r="A7" s="289"/>
      <c r="B7" s="289"/>
      <c r="C7" s="289"/>
      <c r="D7" s="289"/>
      <c r="E7" s="289"/>
      <c r="F7" s="290" t="s">
        <v>105</v>
      </c>
      <c r="G7" s="289"/>
      <c r="H7" s="291"/>
      <c r="I7" s="292"/>
      <c r="J7" s="293">
        <f>SUM(J3:J6)</f>
        <v>3364</v>
      </c>
      <c r="K7" s="279"/>
      <c r="L7" s="279"/>
      <c r="M7" s="279"/>
      <c r="N7" s="279"/>
      <c r="O7" s="279"/>
      <c r="P7" s="279"/>
      <c r="Q7" s="279"/>
      <c r="R7" s="279"/>
    </row>
    <row r="8" spans="1:18" s="279" customFormat="1" ht="30" customHeight="1">
      <c r="A8" s="285">
        <v>2</v>
      </c>
      <c r="B8" s="285" t="s">
        <v>517</v>
      </c>
      <c r="C8" s="659" t="s">
        <v>527</v>
      </c>
      <c r="D8" s="285">
        <v>2220</v>
      </c>
      <c r="E8" s="285">
        <v>1512</v>
      </c>
      <c r="F8" s="285" t="s">
        <v>528</v>
      </c>
      <c r="G8" s="285" t="s">
        <v>142</v>
      </c>
      <c r="H8" s="286">
        <v>30</v>
      </c>
      <c r="I8" s="287">
        <v>8.1999999999999993</v>
      </c>
      <c r="J8" s="288">
        <f>I8*H8</f>
        <v>245.99999999999997</v>
      </c>
    </row>
    <row r="9" spans="1:18" s="309" customFormat="1" ht="30" customHeight="1">
      <c r="A9" s="289"/>
      <c r="B9" s="289"/>
      <c r="C9" s="289"/>
      <c r="D9" s="289"/>
      <c r="E9" s="289"/>
      <c r="F9" s="290" t="s">
        <v>105</v>
      </c>
      <c r="G9" s="289"/>
      <c r="H9" s="291"/>
      <c r="I9" s="292"/>
      <c r="J9" s="293">
        <f>SUM(J8)</f>
        <v>245.99999999999997</v>
      </c>
    </row>
    <row r="10" spans="1:18" ht="30" customHeight="1">
      <c r="A10" s="294">
        <v>3</v>
      </c>
      <c r="B10" s="294" t="s">
        <v>101</v>
      </c>
      <c r="C10" s="659" t="s">
        <v>527</v>
      </c>
      <c r="D10" s="285">
        <v>2220</v>
      </c>
      <c r="E10" s="285">
        <v>1512</v>
      </c>
      <c r="F10" s="285" t="s">
        <v>528</v>
      </c>
      <c r="G10" s="285" t="s">
        <v>142</v>
      </c>
      <c r="H10" s="286">
        <v>30</v>
      </c>
      <c r="I10" s="287">
        <v>8.1999999999999993</v>
      </c>
      <c r="J10" s="288">
        <f>I10*H10</f>
        <v>245.99999999999997</v>
      </c>
      <c r="K10" s="279"/>
      <c r="L10" s="279"/>
      <c r="M10" s="279"/>
      <c r="N10" s="279"/>
      <c r="O10" s="279"/>
      <c r="P10" s="279"/>
      <c r="Q10" s="279"/>
      <c r="R10" s="279"/>
    </row>
    <row r="11" spans="1:18" ht="30" customHeight="1">
      <c r="A11" s="294"/>
      <c r="B11" s="294"/>
      <c r="C11" s="285" t="s">
        <v>5</v>
      </c>
      <c r="D11" s="294">
        <v>2210</v>
      </c>
      <c r="E11" s="294" t="s">
        <v>15</v>
      </c>
      <c r="F11" s="294" t="s">
        <v>531</v>
      </c>
      <c r="G11" s="294" t="s">
        <v>13</v>
      </c>
      <c r="H11" s="297">
        <v>9</v>
      </c>
      <c r="I11" s="298"/>
      <c r="J11" s="299">
        <v>150</v>
      </c>
      <c r="K11" s="279"/>
      <c r="L11" s="279"/>
      <c r="M11" s="279"/>
      <c r="N11" s="279"/>
      <c r="O11" s="279"/>
      <c r="P11" s="279"/>
      <c r="Q11" s="279"/>
      <c r="R11" s="279"/>
    </row>
    <row r="12" spans="1:18" s="305" customFormat="1" ht="30" customHeight="1">
      <c r="A12" s="300"/>
      <c r="B12" s="300"/>
      <c r="C12" s="300"/>
      <c r="D12" s="300"/>
      <c r="E12" s="300"/>
      <c r="F12" s="301" t="s">
        <v>6</v>
      </c>
      <c r="G12" s="300"/>
      <c r="H12" s="302"/>
      <c r="I12" s="303"/>
      <c r="J12" s="304">
        <f>SUM(J10:J11)</f>
        <v>396</v>
      </c>
      <c r="K12" s="279"/>
      <c r="L12" s="279"/>
      <c r="M12" s="279"/>
      <c r="N12" s="279"/>
      <c r="O12" s="279"/>
      <c r="P12" s="279"/>
      <c r="Q12" s="279"/>
      <c r="R12" s="279"/>
    </row>
    <row r="13" spans="1:18" s="279" customFormat="1" ht="43.5" customHeight="1">
      <c r="A13" s="285">
        <v>4</v>
      </c>
      <c r="B13" s="285" t="s">
        <v>181</v>
      </c>
      <c r="C13" s="659" t="s">
        <v>527</v>
      </c>
      <c r="D13" s="285">
        <v>2220</v>
      </c>
      <c r="E13" s="285">
        <v>1512</v>
      </c>
      <c r="F13" s="285" t="s">
        <v>528</v>
      </c>
      <c r="G13" s="285" t="s">
        <v>142</v>
      </c>
      <c r="H13" s="286">
        <v>30</v>
      </c>
      <c r="I13" s="287">
        <v>8.1999999999999993</v>
      </c>
      <c r="J13" s="288">
        <f>I13*H13</f>
        <v>245.99999999999997</v>
      </c>
    </row>
    <row r="14" spans="1:18" s="305" customFormat="1" ht="30" customHeight="1">
      <c r="A14" s="300"/>
      <c r="B14" s="300"/>
      <c r="C14" s="300"/>
      <c r="D14" s="300"/>
      <c r="E14" s="300"/>
      <c r="F14" s="301" t="s">
        <v>6</v>
      </c>
      <c r="G14" s="300"/>
      <c r="H14" s="302"/>
      <c r="I14" s="303"/>
      <c r="J14" s="304">
        <f>SUM(J13:J13)</f>
        <v>245.99999999999997</v>
      </c>
      <c r="K14" s="279"/>
      <c r="L14" s="279"/>
      <c r="M14" s="279"/>
      <c r="N14" s="279"/>
      <c r="O14" s="279"/>
      <c r="P14" s="279"/>
      <c r="Q14" s="279"/>
      <c r="R14" s="279"/>
    </row>
    <row r="15" spans="1:18" s="279" customFormat="1" ht="30" customHeight="1">
      <c r="A15" s="285">
        <v>5</v>
      </c>
      <c r="B15" s="285" t="s">
        <v>375</v>
      </c>
      <c r="C15" s="659" t="s">
        <v>527</v>
      </c>
      <c r="D15" s="285">
        <v>2220</v>
      </c>
      <c r="E15" s="285">
        <v>1512</v>
      </c>
      <c r="F15" s="285" t="s">
        <v>528</v>
      </c>
      <c r="G15" s="285" t="s">
        <v>142</v>
      </c>
      <c r="H15" s="286">
        <v>30</v>
      </c>
      <c r="I15" s="287">
        <v>8.1999999999999993</v>
      </c>
      <c r="J15" s="288">
        <f>I15*H15</f>
        <v>245.99999999999997</v>
      </c>
    </row>
    <row r="16" spans="1:18" s="279" customFormat="1" ht="30" customHeight="1">
      <c r="A16" s="285"/>
      <c r="B16" s="285"/>
      <c r="C16" s="659"/>
      <c r="D16" s="285">
        <v>2210</v>
      </c>
      <c r="E16" s="285" t="s">
        <v>15</v>
      </c>
      <c r="F16" s="285" t="s">
        <v>532</v>
      </c>
      <c r="G16" s="285" t="s">
        <v>142</v>
      </c>
      <c r="H16" s="286">
        <v>20</v>
      </c>
      <c r="I16" s="287"/>
      <c r="J16" s="288">
        <f>133.75+94.5+194.3</f>
        <v>422.55</v>
      </c>
    </row>
    <row r="17" spans="1:10" s="305" customFormat="1" ht="30" customHeight="1">
      <c r="A17" s="300"/>
      <c r="B17" s="300"/>
      <c r="C17" s="300"/>
      <c r="D17" s="300"/>
      <c r="E17" s="300"/>
      <c r="F17" s="301" t="s">
        <v>6</v>
      </c>
      <c r="G17" s="300"/>
      <c r="H17" s="302"/>
      <c r="I17" s="303"/>
      <c r="J17" s="304">
        <f>SUM(J15:J16)</f>
        <v>668.55</v>
      </c>
    </row>
    <row r="18" spans="1:10" s="279" customFormat="1" ht="30" customHeight="1">
      <c r="A18" s="285">
        <v>6</v>
      </c>
      <c r="B18" s="285" t="s">
        <v>232</v>
      </c>
      <c r="C18" s="659" t="s">
        <v>527</v>
      </c>
      <c r="D18" s="285">
        <v>2220</v>
      </c>
      <c r="E18" s="285">
        <v>1512</v>
      </c>
      <c r="F18" s="285" t="s">
        <v>528</v>
      </c>
      <c r="G18" s="285" t="s">
        <v>142</v>
      </c>
      <c r="H18" s="286">
        <v>30</v>
      </c>
      <c r="I18" s="287">
        <v>8.1999999999999993</v>
      </c>
      <c r="J18" s="288">
        <f>I18*H18</f>
        <v>245.99999999999997</v>
      </c>
    </row>
    <row r="19" spans="1:10" s="305" customFormat="1" ht="30" customHeight="1">
      <c r="A19" s="300"/>
      <c r="B19" s="300"/>
      <c r="C19" s="300"/>
      <c r="D19" s="300"/>
      <c r="E19" s="300"/>
      <c r="F19" s="301" t="s">
        <v>6</v>
      </c>
      <c r="G19" s="300"/>
      <c r="H19" s="302"/>
      <c r="I19" s="303"/>
      <c r="J19" s="304">
        <f>SUM(J18)</f>
        <v>245.99999999999997</v>
      </c>
    </row>
    <row r="20" spans="1:10" s="279" customFormat="1" ht="30" customHeight="1">
      <c r="A20" s="285">
        <v>7</v>
      </c>
      <c r="B20" s="285" t="s">
        <v>236</v>
      </c>
      <c r="C20" s="659" t="s">
        <v>527</v>
      </c>
      <c r="D20" s="285">
        <v>2220</v>
      </c>
      <c r="E20" s="285">
        <v>1512</v>
      </c>
      <c r="F20" s="285" t="s">
        <v>528</v>
      </c>
      <c r="G20" s="285" t="s">
        <v>142</v>
      </c>
      <c r="H20" s="286">
        <v>30</v>
      </c>
      <c r="I20" s="287">
        <v>8.1999999999999993</v>
      </c>
      <c r="J20" s="288">
        <f>I20*H20</f>
        <v>245.99999999999997</v>
      </c>
    </row>
    <row r="21" spans="1:10" s="305" customFormat="1" ht="30" customHeight="1">
      <c r="A21" s="300"/>
      <c r="B21" s="300"/>
      <c r="C21" s="300"/>
      <c r="D21" s="300"/>
      <c r="E21" s="300"/>
      <c r="F21" s="301" t="s">
        <v>6</v>
      </c>
      <c r="G21" s="300"/>
      <c r="H21" s="302"/>
      <c r="I21" s="303"/>
      <c r="J21" s="304">
        <f>SUM(J20)</f>
        <v>245.99999999999997</v>
      </c>
    </row>
    <row r="22" spans="1:10" s="279" customFormat="1" ht="30" customHeight="1">
      <c r="A22" s="285">
        <v>8</v>
      </c>
      <c r="B22" s="285" t="s">
        <v>386</v>
      </c>
      <c r="C22" s="659" t="s">
        <v>527</v>
      </c>
      <c r="D22" s="285">
        <v>2220</v>
      </c>
      <c r="E22" s="285">
        <v>1512</v>
      </c>
      <c r="F22" s="285" t="s">
        <v>528</v>
      </c>
      <c r="G22" s="285" t="s">
        <v>142</v>
      </c>
      <c r="H22" s="286">
        <v>30</v>
      </c>
      <c r="I22" s="287">
        <v>8.1999999999999993</v>
      </c>
      <c r="J22" s="288">
        <f>I22*H22</f>
        <v>245.99999999999997</v>
      </c>
    </row>
    <row r="23" spans="1:10" s="279" customFormat="1" ht="30" customHeight="1">
      <c r="A23" s="285"/>
      <c r="B23" s="285"/>
      <c r="C23" s="659" t="s">
        <v>5</v>
      </c>
      <c r="D23" s="285">
        <v>2220</v>
      </c>
      <c r="E23" s="285">
        <v>1512</v>
      </c>
      <c r="F23" s="285" t="s">
        <v>533</v>
      </c>
      <c r="G23" s="285" t="s">
        <v>483</v>
      </c>
      <c r="H23" s="286">
        <v>3</v>
      </c>
      <c r="I23" s="287"/>
      <c r="J23" s="288">
        <f>540+195</f>
        <v>735</v>
      </c>
    </row>
    <row r="24" spans="1:10" s="279" customFormat="1" ht="30" customHeight="1">
      <c r="A24" s="285"/>
      <c r="B24" s="285"/>
      <c r="C24" s="659" t="s">
        <v>5</v>
      </c>
      <c r="D24" s="285">
        <v>2210</v>
      </c>
      <c r="E24" s="285" t="s">
        <v>19</v>
      </c>
      <c r="F24" s="285" t="s">
        <v>180</v>
      </c>
      <c r="G24" s="285" t="s">
        <v>144</v>
      </c>
      <c r="H24" s="286">
        <v>2</v>
      </c>
      <c r="I24" s="287">
        <v>37.9</v>
      </c>
      <c r="J24" s="288">
        <f>I24*H24</f>
        <v>75.8</v>
      </c>
    </row>
    <row r="25" spans="1:10" s="279" customFormat="1" ht="30" customHeight="1">
      <c r="A25" s="285"/>
      <c r="B25" s="285"/>
      <c r="C25" s="659" t="s">
        <v>5</v>
      </c>
      <c r="D25" s="285">
        <v>2210</v>
      </c>
      <c r="E25" s="285" t="s">
        <v>15</v>
      </c>
      <c r="F25" s="285" t="s">
        <v>501</v>
      </c>
      <c r="G25" s="285" t="s">
        <v>43</v>
      </c>
      <c r="H25" s="286">
        <v>3</v>
      </c>
      <c r="I25" s="287">
        <v>28</v>
      </c>
      <c r="J25" s="288">
        <f>I25*H25</f>
        <v>84</v>
      </c>
    </row>
    <row r="26" spans="1:10" s="305" customFormat="1" ht="30" customHeight="1">
      <c r="A26" s="300"/>
      <c r="B26" s="300"/>
      <c r="C26" s="300"/>
      <c r="D26" s="300"/>
      <c r="E26" s="300"/>
      <c r="F26" s="301" t="s">
        <v>6</v>
      </c>
      <c r="G26" s="300"/>
      <c r="H26" s="302"/>
      <c r="I26" s="303"/>
      <c r="J26" s="304">
        <f>SUM(J22:J25)</f>
        <v>1140.8</v>
      </c>
    </row>
    <row r="27" spans="1:10" s="279" customFormat="1" ht="36" customHeight="1">
      <c r="A27" s="285">
        <v>9</v>
      </c>
      <c r="B27" s="285" t="s">
        <v>518</v>
      </c>
      <c r="C27" s="659" t="s">
        <v>527</v>
      </c>
      <c r="D27" s="285">
        <v>2220</v>
      </c>
      <c r="E27" s="285">
        <v>1512</v>
      </c>
      <c r="F27" s="285" t="s">
        <v>528</v>
      </c>
      <c r="G27" s="285" t="s">
        <v>142</v>
      </c>
      <c r="H27" s="286">
        <v>30</v>
      </c>
      <c r="I27" s="287">
        <v>8.1999999999999993</v>
      </c>
      <c r="J27" s="288">
        <f>I27*H27</f>
        <v>245.99999999999997</v>
      </c>
    </row>
    <row r="28" spans="1:10" s="305" customFormat="1" ht="30" customHeight="1">
      <c r="A28" s="300"/>
      <c r="B28" s="300"/>
      <c r="C28" s="300"/>
      <c r="D28" s="300"/>
      <c r="E28" s="300"/>
      <c r="F28" s="290" t="s">
        <v>105</v>
      </c>
      <c r="G28" s="300"/>
      <c r="H28" s="302"/>
      <c r="I28" s="303"/>
      <c r="J28" s="304">
        <f>SUM(J27)</f>
        <v>245.99999999999997</v>
      </c>
    </row>
    <row r="29" spans="1:10" s="279" customFormat="1" ht="30" customHeight="1">
      <c r="A29" s="285">
        <v>10</v>
      </c>
      <c r="B29" s="285" t="s">
        <v>7</v>
      </c>
      <c r="C29" s="659" t="s">
        <v>527</v>
      </c>
      <c r="D29" s="285">
        <v>2220</v>
      </c>
      <c r="E29" s="285">
        <v>1512</v>
      </c>
      <c r="F29" s="285" t="s">
        <v>528</v>
      </c>
      <c r="G29" s="285" t="s">
        <v>142</v>
      </c>
      <c r="H29" s="286">
        <v>30</v>
      </c>
      <c r="I29" s="287">
        <v>8.1999999999999993</v>
      </c>
      <c r="J29" s="288">
        <f>I29*H29</f>
        <v>245.99999999999997</v>
      </c>
    </row>
    <row r="30" spans="1:10" s="279" customFormat="1" ht="30" customHeight="1">
      <c r="A30" s="285"/>
      <c r="B30" s="285"/>
      <c r="C30" s="659" t="s">
        <v>5</v>
      </c>
      <c r="D30" s="285">
        <v>2220</v>
      </c>
      <c r="E30" s="285">
        <v>1512</v>
      </c>
      <c r="F30" s="285" t="s">
        <v>534</v>
      </c>
      <c r="G30" s="285" t="s">
        <v>13</v>
      </c>
      <c r="H30" s="286">
        <v>5</v>
      </c>
      <c r="I30" s="287">
        <v>210</v>
      </c>
      <c r="J30" s="288">
        <v>1050</v>
      </c>
    </row>
    <row r="31" spans="1:10" s="279" customFormat="1" ht="30" customHeight="1">
      <c r="A31" s="285"/>
      <c r="B31" s="285"/>
      <c r="C31" s="659"/>
      <c r="D31" s="285">
        <v>2210</v>
      </c>
      <c r="E31" s="285" t="s">
        <v>19</v>
      </c>
      <c r="F31" s="285" t="s">
        <v>180</v>
      </c>
      <c r="G31" s="285" t="s">
        <v>43</v>
      </c>
      <c r="H31" s="286">
        <v>60</v>
      </c>
      <c r="I31" s="287">
        <v>4.8</v>
      </c>
      <c r="J31" s="288">
        <v>288</v>
      </c>
    </row>
    <row r="32" spans="1:10" s="279" customFormat="1" ht="30" customHeight="1">
      <c r="A32" s="285"/>
      <c r="B32" s="285"/>
      <c r="C32" s="659"/>
      <c r="D32" s="285">
        <v>2210</v>
      </c>
      <c r="E32" s="285" t="s">
        <v>15</v>
      </c>
      <c r="F32" s="285" t="s">
        <v>307</v>
      </c>
      <c r="G32" s="285" t="s">
        <v>43</v>
      </c>
      <c r="H32" s="286">
        <v>3</v>
      </c>
      <c r="I32" s="287"/>
      <c r="J32" s="288">
        <v>180</v>
      </c>
    </row>
    <row r="33" spans="1:18" s="305" customFormat="1" ht="30" customHeight="1">
      <c r="A33" s="300"/>
      <c r="B33" s="300"/>
      <c r="C33" s="300"/>
      <c r="D33" s="300"/>
      <c r="E33" s="300"/>
      <c r="F33" s="290" t="s">
        <v>105</v>
      </c>
      <c r="G33" s="300"/>
      <c r="H33" s="302"/>
      <c r="I33" s="303"/>
      <c r="J33" s="304">
        <f>SUM(J29:J32)</f>
        <v>1764</v>
      </c>
    </row>
    <row r="34" spans="1:18" s="279" customFormat="1" ht="30" customHeight="1">
      <c r="A34" s="285">
        <v>11</v>
      </c>
      <c r="B34" s="285" t="s">
        <v>519</v>
      </c>
      <c r="C34" s="659" t="s">
        <v>527</v>
      </c>
      <c r="D34" s="285">
        <v>2220</v>
      </c>
      <c r="E34" s="285">
        <v>1512</v>
      </c>
      <c r="F34" s="285" t="s">
        <v>528</v>
      </c>
      <c r="G34" s="285" t="s">
        <v>142</v>
      </c>
      <c r="H34" s="286">
        <v>30</v>
      </c>
      <c r="I34" s="287">
        <v>8.1999999999999993</v>
      </c>
      <c r="J34" s="288">
        <f>I34*H34</f>
        <v>245.99999999999997</v>
      </c>
    </row>
    <row r="35" spans="1:18" s="305" customFormat="1" ht="30" customHeight="1">
      <c r="A35" s="300"/>
      <c r="B35" s="300"/>
      <c r="C35" s="300"/>
      <c r="D35" s="300"/>
      <c r="E35" s="300"/>
      <c r="F35" s="290" t="s">
        <v>105</v>
      </c>
      <c r="G35" s="300"/>
      <c r="H35" s="302"/>
      <c r="I35" s="303"/>
      <c r="J35" s="304">
        <f>SUM(J34)</f>
        <v>245.99999999999997</v>
      </c>
    </row>
    <row r="36" spans="1:18" s="279" customFormat="1" ht="30" customHeight="1">
      <c r="A36" s="285">
        <v>12</v>
      </c>
      <c r="B36" s="285" t="s">
        <v>520</v>
      </c>
      <c r="C36" s="659" t="s">
        <v>527</v>
      </c>
      <c r="D36" s="285">
        <v>2220</v>
      </c>
      <c r="E36" s="285">
        <v>1512</v>
      </c>
      <c r="F36" s="285" t="s">
        <v>528</v>
      </c>
      <c r="G36" s="285" t="s">
        <v>142</v>
      </c>
      <c r="H36" s="286">
        <v>30</v>
      </c>
      <c r="I36" s="287">
        <v>8.1999999999999993</v>
      </c>
      <c r="J36" s="288">
        <f>I36*H36</f>
        <v>245.99999999999997</v>
      </c>
    </row>
    <row r="37" spans="1:18" s="305" customFormat="1" ht="30" customHeight="1">
      <c r="A37" s="300"/>
      <c r="B37" s="300"/>
      <c r="C37" s="300"/>
      <c r="D37" s="300"/>
      <c r="E37" s="300"/>
      <c r="F37" s="290" t="s">
        <v>105</v>
      </c>
      <c r="G37" s="300"/>
      <c r="H37" s="302"/>
      <c r="I37" s="303"/>
      <c r="J37" s="304">
        <f>SUM(J36)</f>
        <v>245.99999999999997</v>
      </c>
    </row>
    <row r="38" spans="1:18" s="279" customFormat="1" ht="30" customHeight="1">
      <c r="A38" s="285">
        <v>13</v>
      </c>
      <c r="B38" s="285" t="s">
        <v>8</v>
      </c>
      <c r="C38" s="659" t="s">
        <v>527</v>
      </c>
      <c r="D38" s="285">
        <v>2220</v>
      </c>
      <c r="E38" s="285">
        <v>1512</v>
      </c>
      <c r="F38" s="285" t="s">
        <v>528</v>
      </c>
      <c r="G38" s="285" t="s">
        <v>142</v>
      </c>
      <c r="H38" s="286">
        <v>30</v>
      </c>
      <c r="I38" s="287">
        <v>8.1999999999999993</v>
      </c>
      <c r="J38" s="288">
        <f>I38*H38</f>
        <v>245.99999999999997</v>
      </c>
    </row>
    <row r="39" spans="1:18" s="305" customFormat="1" ht="30" customHeight="1">
      <c r="A39" s="300"/>
      <c r="B39" s="300"/>
      <c r="C39" s="300"/>
      <c r="D39" s="300"/>
      <c r="E39" s="300"/>
      <c r="F39" s="290" t="s">
        <v>105</v>
      </c>
      <c r="G39" s="300"/>
      <c r="H39" s="302"/>
      <c r="I39" s="303"/>
      <c r="J39" s="304">
        <f>SUM(J38)</f>
        <v>245.99999999999997</v>
      </c>
    </row>
    <row r="40" spans="1:18" s="279" customFormat="1" ht="30" customHeight="1">
      <c r="A40" s="285">
        <v>14</v>
      </c>
      <c r="B40" s="285" t="s">
        <v>521</v>
      </c>
      <c r="C40" s="659" t="s">
        <v>527</v>
      </c>
      <c r="D40" s="285">
        <v>2220</v>
      </c>
      <c r="E40" s="285">
        <v>1512</v>
      </c>
      <c r="F40" s="285" t="s">
        <v>528</v>
      </c>
      <c r="G40" s="285" t="s">
        <v>142</v>
      </c>
      <c r="H40" s="286">
        <v>30</v>
      </c>
      <c r="I40" s="287">
        <v>8.1999999999999993</v>
      </c>
      <c r="J40" s="288">
        <f>I40*H40</f>
        <v>245.99999999999997</v>
      </c>
    </row>
    <row r="41" spans="1:18" s="305" customFormat="1" ht="30" customHeight="1">
      <c r="A41" s="300"/>
      <c r="B41" s="300"/>
      <c r="C41" s="300"/>
      <c r="D41" s="300"/>
      <c r="E41" s="300"/>
      <c r="F41" s="290" t="s">
        <v>105</v>
      </c>
      <c r="G41" s="300"/>
      <c r="H41" s="302"/>
      <c r="I41" s="303"/>
      <c r="J41" s="304">
        <f>SUM(J40)</f>
        <v>245.99999999999997</v>
      </c>
    </row>
    <row r="42" spans="1:18" s="279" customFormat="1" ht="30" customHeight="1">
      <c r="A42" s="285">
        <v>15</v>
      </c>
      <c r="B42" s="285" t="s">
        <v>390</v>
      </c>
      <c r="C42" s="659" t="s">
        <v>527</v>
      </c>
      <c r="D42" s="285">
        <v>2220</v>
      </c>
      <c r="E42" s="285">
        <v>1512</v>
      </c>
      <c r="F42" s="285" t="s">
        <v>528</v>
      </c>
      <c r="G42" s="285" t="s">
        <v>142</v>
      </c>
      <c r="H42" s="286">
        <v>30</v>
      </c>
      <c r="I42" s="287">
        <v>8.1999999999999993</v>
      </c>
      <c r="J42" s="288">
        <f>I42*H42</f>
        <v>245.99999999999997</v>
      </c>
    </row>
    <row r="43" spans="1:18" s="305" customFormat="1" ht="30" customHeight="1">
      <c r="A43" s="300"/>
      <c r="B43" s="300"/>
      <c r="C43" s="300"/>
      <c r="D43" s="300"/>
      <c r="E43" s="300"/>
      <c r="F43" s="290" t="s">
        <v>105</v>
      </c>
      <c r="G43" s="300"/>
      <c r="H43" s="302"/>
      <c r="I43" s="303"/>
      <c r="J43" s="304">
        <f>SUM(J42)</f>
        <v>245.99999999999997</v>
      </c>
    </row>
    <row r="44" spans="1:18" s="279" customFormat="1" ht="30" customHeight="1">
      <c r="A44" s="285">
        <v>16</v>
      </c>
      <c r="B44" s="285" t="s">
        <v>316</v>
      </c>
      <c r="C44" s="659" t="s">
        <v>527</v>
      </c>
      <c r="D44" s="285">
        <v>2220</v>
      </c>
      <c r="E44" s="285">
        <v>1512</v>
      </c>
      <c r="F44" s="285" t="s">
        <v>528</v>
      </c>
      <c r="G44" s="285" t="s">
        <v>142</v>
      </c>
      <c r="H44" s="286">
        <v>30</v>
      </c>
      <c r="I44" s="287">
        <v>8.1999999999999993</v>
      </c>
      <c r="J44" s="288">
        <f>I44*H44</f>
        <v>245.99999999999997</v>
      </c>
    </row>
    <row r="45" spans="1:18" s="305" customFormat="1" ht="30" customHeight="1">
      <c r="A45" s="300"/>
      <c r="B45" s="300"/>
      <c r="C45" s="300"/>
      <c r="D45" s="300"/>
      <c r="E45" s="300"/>
      <c r="F45" s="290" t="s">
        <v>105</v>
      </c>
      <c r="G45" s="300"/>
      <c r="H45" s="302"/>
      <c r="I45" s="303"/>
      <c r="J45" s="304">
        <f>SUM(J44)</f>
        <v>245.99999999999997</v>
      </c>
      <c r="K45" s="279"/>
      <c r="L45" s="279"/>
      <c r="M45" s="279"/>
      <c r="N45" s="279"/>
      <c r="O45" s="279"/>
      <c r="P45" s="279"/>
      <c r="Q45" s="279"/>
      <c r="R45" s="279"/>
    </row>
    <row r="46" spans="1:18" s="279" customFormat="1" ht="30" customHeight="1">
      <c r="A46" s="285">
        <v>17</v>
      </c>
      <c r="B46" s="285" t="s">
        <v>522</v>
      </c>
      <c r="C46" s="659" t="s">
        <v>527</v>
      </c>
      <c r="D46" s="285">
        <v>2220</v>
      </c>
      <c r="E46" s="285">
        <v>1512</v>
      </c>
      <c r="F46" s="285" t="s">
        <v>528</v>
      </c>
      <c r="G46" s="285" t="s">
        <v>142</v>
      </c>
      <c r="H46" s="286">
        <v>30</v>
      </c>
      <c r="I46" s="287">
        <v>8.1999999999999993</v>
      </c>
      <c r="J46" s="288">
        <f>I46*H46</f>
        <v>245.99999999999997</v>
      </c>
    </row>
    <row r="47" spans="1:18" s="305" customFormat="1" ht="30" customHeight="1">
      <c r="A47" s="300"/>
      <c r="B47" s="300"/>
      <c r="C47" s="300"/>
      <c r="D47" s="300"/>
      <c r="E47" s="300"/>
      <c r="F47" s="290" t="s">
        <v>105</v>
      </c>
      <c r="G47" s="300"/>
      <c r="H47" s="302"/>
      <c r="I47" s="303"/>
      <c r="J47" s="304">
        <f>SUM(J46)</f>
        <v>245.99999999999997</v>
      </c>
    </row>
    <row r="48" spans="1:18" s="279" customFormat="1" ht="30" customHeight="1">
      <c r="A48" s="285">
        <v>18</v>
      </c>
      <c r="B48" s="285" t="s">
        <v>523</v>
      </c>
      <c r="C48" s="659" t="s">
        <v>527</v>
      </c>
      <c r="D48" s="285">
        <v>2220</v>
      </c>
      <c r="E48" s="285">
        <v>1512</v>
      </c>
      <c r="F48" s="285" t="s">
        <v>528</v>
      </c>
      <c r="G48" s="285" t="s">
        <v>142</v>
      </c>
      <c r="H48" s="286">
        <v>30</v>
      </c>
      <c r="I48" s="287">
        <v>8.1999999999999993</v>
      </c>
      <c r="J48" s="288">
        <f>I48*H48</f>
        <v>245.99999999999997</v>
      </c>
    </row>
    <row r="49" spans="1:18" s="305" customFormat="1" ht="30" customHeight="1">
      <c r="A49" s="300"/>
      <c r="B49" s="300"/>
      <c r="C49" s="300"/>
      <c r="D49" s="300"/>
      <c r="E49" s="300"/>
      <c r="F49" s="290" t="s">
        <v>105</v>
      </c>
      <c r="G49" s="300"/>
      <c r="H49" s="302"/>
      <c r="I49" s="303"/>
      <c r="J49" s="304">
        <f>SUM(J48)</f>
        <v>245.99999999999997</v>
      </c>
    </row>
    <row r="50" spans="1:18" s="279" customFormat="1" ht="30" customHeight="1">
      <c r="A50" s="285">
        <v>19</v>
      </c>
      <c r="B50" s="285" t="s">
        <v>14</v>
      </c>
      <c r="C50" s="659" t="s">
        <v>527</v>
      </c>
      <c r="D50" s="285">
        <v>2220</v>
      </c>
      <c r="E50" s="285">
        <v>1512</v>
      </c>
      <c r="F50" s="285" t="s">
        <v>528</v>
      </c>
      <c r="G50" s="285" t="s">
        <v>142</v>
      </c>
      <c r="H50" s="286">
        <v>30</v>
      </c>
      <c r="I50" s="287">
        <v>8.1999999999999993</v>
      </c>
      <c r="J50" s="288">
        <f>I50*H50</f>
        <v>245.99999999999997</v>
      </c>
    </row>
    <row r="51" spans="1:18" s="305" customFormat="1" ht="30" customHeight="1">
      <c r="A51" s="300"/>
      <c r="B51" s="300"/>
      <c r="C51" s="300"/>
      <c r="D51" s="300"/>
      <c r="E51" s="300"/>
      <c r="F51" s="290" t="s">
        <v>105</v>
      </c>
      <c r="G51" s="300"/>
      <c r="H51" s="302"/>
      <c r="I51" s="303"/>
      <c r="J51" s="304">
        <f>SUM(J50)</f>
        <v>245.99999999999997</v>
      </c>
    </row>
    <row r="52" spans="1:18" s="279" customFormat="1" ht="39.75" customHeight="1">
      <c r="A52" s="285">
        <v>20</v>
      </c>
      <c r="B52" s="285" t="s">
        <v>9</v>
      </c>
      <c r="C52" s="659" t="s">
        <v>527</v>
      </c>
      <c r="D52" s="285">
        <v>2220</v>
      </c>
      <c r="E52" s="285">
        <v>1512</v>
      </c>
      <c r="F52" s="285" t="s">
        <v>528</v>
      </c>
      <c r="G52" s="285" t="s">
        <v>142</v>
      </c>
      <c r="H52" s="286">
        <v>30</v>
      </c>
      <c r="I52" s="287">
        <v>8.1999999999999993</v>
      </c>
      <c r="J52" s="288">
        <f>I52*H52</f>
        <v>245.99999999999997</v>
      </c>
    </row>
    <row r="53" spans="1:18" s="279" customFormat="1" ht="30" customHeight="1">
      <c r="A53" s="285"/>
      <c r="B53" s="285"/>
      <c r="C53" s="659" t="s">
        <v>5</v>
      </c>
      <c r="D53" s="285">
        <v>2220</v>
      </c>
      <c r="E53" s="285">
        <v>1512</v>
      </c>
      <c r="F53" s="285" t="s">
        <v>32</v>
      </c>
      <c r="G53" s="285" t="s">
        <v>13</v>
      </c>
      <c r="H53" s="286">
        <v>2</v>
      </c>
      <c r="I53" s="287">
        <v>300</v>
      </c>
      <c r="J53" s="288">
        <v>600</v>
      </c>
    </row>
    <row r="54" spans="1:18" s="279" customFormat="1" ht="30" customHeight="1">
      <c r="A54" s="285"/>
      <c r="B54" s="285"/>
      <c r="C54" s="659"/>
      <c r="D54" s="285">
        <v>2210</v>
      </c>
      <c r="E54" s="285" t="s">
        <v>19</v>
      </c>
      <c r="F54" s="285" t="s">
        <v>180</v>
      </c>
      <c r="G54" s="285" t="s">
        <v>43</v>
      </c>
      <c r="H54" s="286">
        <v>24</v>
      </c>
      <c r="I54" s="287"/>
      <c r="J54" s="288">
        <v>96</v>
      </c>
    </row>
    <row r="55" spans="1:18" s="279" customFormat="1" ht="30" customHeight="1">
      <c r="A55" s="285"/>
      <c r="B55" s="285"/>
      <c r="C55" s="659"/>
      <c r="D55" s="285">
        <v>2210</v>
      </c>
      <c r="E55" s="285" t="s">
        <v>15</v>
      </c>
      <c r="F55" s="285" t="s">
        <v>535</v>
      </c>
      <c r="G55" s="285" t="s">
        <v>43</v>
      </c>
      <c r="H55" s="286">
        <v>22</v>
      </c>
      <c r="I55" s="287"/>
      <c r="J55" s="288">
        <f>60+180</f>
        <v>240</v>
      </c>
    </row>
    <row r="56" spans="1:18" s="305" customFormat="1" ht="30" customHeight="1">
      <c r="A56" s="300"/>
      <c r="B56" s="300"/>
      <c r="C56" s="300"/>
      <c r="D56" s="300"/>
      <c r="E56" s="300"/>
      <c r="F56" s="301" t="s">
        <v>6</v>
      </c>
      <c r="G56" s="300"/>
      <c r="H56" s="302"/>
      <c r="I56" s="303"/>
      <c r="J56" s="304">
        <f>SUM(J52:J55)</f>
        <v>1182</v>
      </c>
      <c r="K56" s="279"/>
      <c r="L56" s="279"/>
      <c r="M56" s="279"/>
      <c r="N56" s="279"/>
      <c r="O56" s="279"/>
      <c r="P56" s="279"/>
      <c r="Q56" s="279"/>
      <c r="R56" s="279"/>
    </row>
    <row r="57" spans="1:18" s="279" customFormat="1" ht="30" customHeight="1">
      <c r="A57" s="285">
        <v>21</v>
      </c>
      <c r="B57" s="285" t="s">
        <v>524</v>
      </c>
      <c r="C57" s="659" t="s">
        <v>527</v>
      </c>
      <c r="D57" s="285">
        <v>2220</v>
      </c>
      <c r="E57" s="285">
        <v>1512</v>
      </c>
      <c r="F57" s="285" t="s">
        <v>528</v>
      </c>
      <c r="G57" s="285" t="s">
        <v>142</v>
      </c>
      <c r="H57" s="286">
        <v>30</v>
      </c>
      <c r="I57" s="287">
        <v>8.1999999999999993</v>
      </c>
      <c r="J57" s="288">
        <f>I57*H57</f>
        <v>245.99999999999997</v>
      </c>
    </row>
    <row r="58" spans="1:18" s="305" customFormat="1" ht="30" customHeight="1">
      <c r="A58" s="300"/>
      <c r="B58" s="300"/>
      <c r="C58" s="300"/>
      <c r="D58" s="300"/>
      <c r="E58" s="300"/>
      <c r="F58" s="301" t="s">
        <v>6</v>
      </c>
      <c r="G58" s="300"/>
      <c r="H58" s="302"/>
      <c r="I58" s="303"/>
      <c r="J58" s="304">
        <f>SUM(J57:J57)</f>
        <v>245.99999999999997</v>
      </c>
      <c r="K58" s="279"/>
      <c r="L58" s="279"/>
      <c r="M58" s="279"/>
      <c r="N58" s="279"/>
      <c r="O58" s="279"/>
      <c r="P58" s="279"/>
      <c r="Q58" s="279"/>
      <c r="R58" s="279"/>
    </row>
    <row r="59" spans="1:18" s="279" customFormat="1" ht="30" customHeight="1">
      <c r="A59" s="285">
        <v>22</v>
      </c>
      <c r="B59" s="285" t="s">
        <v>171</v>
      </c>
      <c r="C59" s="659" t="s">
        <v>527</v>
      </c>
      <c r="D59" s="285">
        <v>2220</v>
      </c>
      <c r="E59" s="285">
        <v>1512</v>
      </c>
      <c r="F59" s="285" t="s">
        <v>528</v>
      </c>
      <c r="G59" s="285" t="s">
        <v>142</v>
      </c>
      <c r="H59" s="286">
        <v>30</v>
      </c>
      <c r="I59" s="287">
        <v>8.1999999999999993</v>
      </c>
      <c r="J59" s="288">
        <f>I59*H59</f>
        <v>245.99999999999997</v>
      </c>
    </row>
    <row r="60" spans="1:18" s="305" customFormat="1" ht="30" customHeight="1">
      <c r="A60" s="300"/>
      <c r="B60" s="300"/>
      <c r="C60" s="300"/>
      <c r="D60" s="300"/>
      <c r="E60" s="300"/>
      <c r="F60" s="290" t="s">
        <v>105</v>
      </c>
      <c r="G60" s="300"/>
      <c r="H60" s="302"/>
      <c r="I60" s="303"/>
      <c r="J60" s="304">
        <f>SUM(J59:J59)</f>
        <v>245.99999999999997</v>
      </c>
      <c r="K60" s="279"/>
      <c r="L60" s="279"/>
      <c r="M60" s="279"/>
      <c r="N60" s="279"/>
      <c r="O60" s="279"/>
      <c r="P60" s="279"/>
      <c r="Q60" s="279"/>
      <c r="R60" s="279"/>
    </row>
    <row r="61" spans="1:18" s="279" customFormat="1" ht="30" customHeight="1">
      <c r="A61" s="285">
        <v>23</v>
      </c>
      <c r="B61" s="285" t="s">
        <v>525</v>
      </c>
      <c r="C61" s="659" t="s">
        <v>527</v>
      </c>
      <c r="D61" s="285">
        <v>2220</v>
      </c>
      <c r="E61" s="285">
        <v>1512</v>
      </c>
      <c r="F61" s="285" t="s">
        <v>528</v>
      </c>
      <c r="G61" s="285" t="s">
        <v>142</v>
      </c>
      <c r="H61" s="286">
        <v>30</v>
      </c>
      <c r="I61" s="287">
        <v>8.1999999999999993</v>
      </c>
      <c r="J61" s="288">
        <f>I61*H61</f>
        <v>245.99999999999997</v>
      </c>
    </row>
    <row r="62" spans="1:18" s="305" customFormat="1" ht="30" customHeight="1">
      <c r="A62" s="300"/>
      <c r="B62" s="300"/>
      <c r="C62" s="300"/>
      <c r="D62" s="300"/>
      <c r="E62" s="300"/>
      <c r="F62" s="301" t="s">
        <v>6</v>
      </c>
      <c r="G62" s="300"/>
      <c r="H62" s="302"/>
      <c r="I62" s="303"/>
      <c r="J62" s="304">
        <f>SUM(J61:J61)</f>
        <v>245.99999999999997</v>
      </c>
      <c r="K62" s="279"/>
      <c r="L62" s="279"/>
      <c r="M62" s="279"/>
      <c r="N62" s="279"/>
      <c r="O62" s="279"/>
      <c r="P62" s="279"/>
      <c r="Q62" s="279"/>
      <c r="R62" s="279"/>
    </row>
    <row r="63" spans="1:18" s="279" customFormat="1" ht="30" customHeight="1">
      <c r="A63" s="285">
        <v>24</v>
      </c>
      <c r="B63" s="285" t="s">
        <v>187</v>
      </c>
      <c r="C63" s="659" t="s">
        <v>527</v>
      </c>
      <c r="D63" s="285">
        <v>2220</v>
      </c>
      <c r="E63" s="285">
        <v>1512</v>
      </c>
      <c r="F63" s="285" t="s">
        <v>528</v>
      </c>
      <c r="G63" s="285" t="s">
        <v>142</v>
      </c>
      <c r="H63" s="286">
        <v>30</v>
      </c>
      <c r="I63" s="287">
        <v>8.1999999999999993</v>
      </c>
      <c r="J63" s="288">
        <f>I63*H63</f>
        <v>245.99999999999997</v>
      </c>
    </row>
    <row r="64" spans="1:18" s="279" customFormat="1" ht="30" customHeight="1">
      <c r="A64" s="285"/>
      <c r="B64" s="285"/>
      <c r="C64" s="659" t="s">
        <v>5</v>
      </c>
      <c r="D64" s="285">
        <v>2210</v>
      </c>
      <c r="E64" s="285" t="s">
        <v>19</v>
      </c>
      <c r="F64" s="285" t="s">
        <v>536</v>
      </c>
      <c r="G64" s="285" t="s">
        <v>157</v>
      </c>
      <c r="H64" s="286">
        <v>6</v>
      </c>
      <c r="I64" s="287"/>
      <c r="J64" s="288">
        <f>50+25</f>
        <v>75</v>
      </c>
    </row>
    <row r="65" spans="1:18" s="279" customFormat="1" ht="30" customHeight="1">
      <c r="A65" s="285"/>
      <c r="B65" s="285"/>
      <c r="C65" s="659"/>
      <c r="D65" s="285">
        <v>2210</v>
      </c>
      <c r="E65" s="285" t="s">
        <v>15</v>
      </c>
      <c r="F65" s="285" t="s">
        <v>537</v>
      </c>
      <c r="G65" s="285" t="s">
        <v>157</v>
      </c>
      <c r="H65" s="286">
        <v>11</v>
      </c>
      <c r="I65" s="287"/>
      <c r="J65" s="288">
        <f>85+93+17+24+55+20.5+73+295+71</f>
        <v>733.5</v>
      </c>
    </row>
    <row r="66" spans="1:18" s="305" customFormat="1" ht="30" customHeight="1">
      <c r="A66" s="300"/>
      <c r="B66" s="300"/>
      <c r="C66" s="300"/>
      <c r="D66" s="300"/>
      <c r="E66" s="300"/>
      <c r="F66" s="301" t="s">
        <v>6</v>
      </c>
      <c r="G66" s="300"/>
      <c r="H66" s="302"/>
      <c r="I66" s="303"/>
      <c r="J66" s="304">
        <f>SUM(J63:J65)</f>
        <v>1054.5</v>
      </c>
      <c r="K66" s="279"/>
      <c r="L66" s="279"/>
      <c r="M66" s="279"/>
      <c r="N66" s="279"/>
      <c r="O66" s="279"/>
      <c r="P66" s="279"/>
      <c r="Q66" s="279"/>
      <c r="R66" s="279"/>
    </row>
    <row r="67" spans="1:18" s="279" customFormat="1" ht="30" customHeight="1">
      <c r="A67" s="285">
        <v>25</v>
      </c>
      <c r="B67" s="285" t="s">
        <v>526</v>
      </c>
      <c r="C67" s="659" t="s">
        <v>527</v>
      </c>
      <c r="D67" s="285">
        <v>2220</v>
      </c>
      <c r="E67" s="285">
        <v>1512</v>
      </c>
      <c r="F67" s="285" t="s">
        <v>528</v>
      </c>
      <c r="G67" s="285" t="s">
        <v>142</v>
      </c>
      <c r="H67" s="286">
        <v>30</v>
      </c>
      <c r="I67" s="287">
        <v>8.1999999999999993</v>
      </c>
      <c r="J67" s="288">
        <f>I67*H67</f>
        <v>245.99999999999997</v>
      </c>
    </row>
    <row r="68" spans="1:18" s="309" customFormat="1" ht="30" customHeight="1">
      <c r="A68" s="289"/>
      <c r="B68" s="289"/>
      <c r="C68" s="289"/>
      <c r="D68" s="289"/>
      <c r="E68" s="289"/>
      <c r="F68" s="307" t="s">
        <v>6</v>
      </c>
      <c r="G68" s="289"/>
      <c r="H68" s="308"/>
      <c r="I68" s="292"/>
      <c r="J68" s="293">
        <f>SUM(J67:J67)</f>
        <v>245.99999999999997</v>
      </c>
      <c r="K68" s="279"/>
      <c r="L68" s="279"/>
      <c r="M68" s="279"/>
      <c r="N68" s="279"/>
      <c r="O68" s="279"/>
      <c r="P68" s="279"/>
      <c r="Q68" s="279"/>
      <c r="R68" s="279"/>
    </row>
    <row r="69" spans="1:18" s="279" customFormat="1" ht="30" customHeight="1">
      <c r="A69" s="285">
        <v>26</v>
      </c>
      <c r="B69" s="285" t="s">
        <v>188</v>
      </c>
      <c r="C69" s="659" t="s">
        <v>527</v>
      </c>
      <c r="D69" s="285">
        <v>2220</v>
      </c>
      <c r="E69" s="285">
        <v>1512</v>
      </c>
      <c r="F69" s="285" t="s">
        <v>528</v>
      </c>
      <c r="G69" s="285" t="s">
        <v>142</v>
      </c>
      <c r="H69" s="286">
        <v>30</v>
      </c>
      <c r="I69" s="287">
        <v>8.1999999999999993</v>
      </c>
      <c r="J69" s="288">
        <f>I69*H69</f>
        <v>245.99999999999997</v>
      </c>
    </row>
    <row r="70" spans="1:18" s="305" customFormat="1" ht="30" customHeight="1">
      <c r="A70" s="300"/>
      <c r="B70" s="300"/>
      <c r="C70" s="300"/>
      <c r="D70" s="300"/>
      <c r="E70" s="300"/>
      <c r="F70" s="301" t="s">
        <v>6</v>
      </c>
      <c r="G70" s="300"/>
      <c r="H70" s="302"/>
      <c r="I70" s="303"/>
      <c r="J70" s="304">
        <f>SUM(J69:J69)</f>
        <v>245.99999999999997</v>
      </c>
      <c r="K70" s="279"/>
      <c r="L70" s="279"/>
      <c r="M70" s="279"/>
      <c r="N70" s="279"/>
      <c r="O70" s="279"/>
      <c r="P70" s="279"/>
      <c r="Q70" s="279"/>
      <c r="R70" s="279"/>
    </row>
    <row r="71" spans="1:18" s="279" customFormat="1" ht="30" customHeight="1">
      <c r="A71" s="285">
        <v>27</v>
      </c>
      <c r="B71" s="285" t="s">
        <v>18</v>
      </c>
      <c r="C71" s="659" t="s">
        <v>527</v>
      </c>
      <c r="D71" s="285">
        <v>2220</v>
      </c>
      <c r="E71" s="285">
        <v>1512</v>
      </c>
      <c r="F71" s="285" t="s">
        <v>528</v>
      </c>
      <c r="G71" s="285" t="s">
        <v>142</v>
      </c>
      <c r="H71" s="286">
        <v>30</v>
      </c>
      <c r="I71" s="287">
        <v>8.1999999999999993</v>
      </c>
      <c r="J71" s="288">
        <f>I71*H71</f>
        <v>245.99999999999997</v>
      </c>
    </row>
    <row r="72" spans="1:18" s="279" customFormat="1" ht="30" customHeight="1">
      <c r="A72" s="285"/>
      <c r="B72" s="285"/>
      <c r="C72" s="659" t="s">
        <v>5</v>
      </c>
      <c r="D72" s="285">
        <v>2210</v>
      </c>
      <c r="E72" s="285">
        <v>1113</v>
      </c>
      <c r="F72" s="285" t="s">
        <v>266</v>
      </c>
      <c r="G72" s="285" t="s">
        <v>43</v>
      </c>
      <c r="H72" s="286">
        <v>1</v>
      </c>
      <c r="I72" s="287">
        <v>1962</v>
      </c>
      <c r="J72" s="288">
        <v>1962</v>
      </c>
    </row>
    <row r="73" spans="1:18" s="279" customFormat="1" ht="30" customHeight="1">
      <c r="A73" s="285"/>
      <c r="B73" s="285"/>
      <c r="C73" s="659"/>
      <c r="D73" s="285">
        <v>3110</v>
      </c>
      <c r="E73" s="285">
        <v>1016</v>
      </c>
      <c r="F73" s="285" t="s">
        <v>538</v>
      </c>
      <c r="G73" s="285" t="s">
        <v>43</v>
      </c>
      <c r="H73" s="286">
        <v>1</v>
      </c>
      <c r="I73" s="287">
        <v>6965</v>
      </c>
      <c r="J73" s="288">
        <v>6965</v>
      </c>
    </row>
    <row r="74" spans="1:18" s="305" customFormat="1" ht="30" customHeight="1">
      <c r="A74" s="300"/>
      <c r="B74" s="300"/>
      <c r="C74" s="300"/>
      <c r="D74" s="300"/>
      <c r="E74" s="300"/>
      <c r="F74" s="290" t="s">
        <v>105</v>
      </c>
      <c r="G74" s="300"/>
      <c r="H74" s="302"/>
      <c r="I74" s="303"/>
      <c r="J74" s="304">
        <f>SUM(J71:J73)</f>
        <v>9173</v>
      </c>
      <c r="K74" s="279"/>
      <c r="L74" s="279"/>
      <c r="M74" s="279"/>
      <c r="N74" s="279"/>
      <c r="O74" s="279"/>
      <c r="P74" s="279"/>
      <c r="Q74" s="279"/>
      <c r="R74" s="279"/>
    </row>
    <row r="75" spans="1:18" s="312" customFormat="1" ht="30" customHeight="1">
      <c r="A75" s="713" t="s">
        <v>178</v>
      </c>
      <c r="B75" s="713"/>
      <c r="C75" s="713"/>
      <c r="D75" s="713"/>
      <c r="E75" s="713"/>
      <c r="F75" s="713"/>
      <c r="G75" s="713"/>
      <c r="H75" s="713"/>
      <c r="I75" s="713"/>
      <c r="J75" s="310">
        <f>J74+J70+J68+J66+J62+J60+J58+J56+J51+J49+J47+J45+J43+J41+J39+J37+J35+J33+J28+J26+J21+J19+J17+J14+J12+J9+J7</f>
        <v>23416.85</v>
      </c>
      <c r="K75" s="311"/>
    </row>
    <row r="76" spans="1:18" s="312" customFormat="1" ht="30" customHeight="1">
      <c r="A76" s="313">
        <v>28</v>
      </c>
      <c r="B76" s="279" t="s">
        <v>539</v>
      </c>
      <c r="C76" s="659" t="s">
        <v>527</v>
      </c>
      <c r="D76" s="285">
        <v>2220</v>
      </c>
      <c r="E76" s="285">
        <v>1512</v>
      </c>
      <c r="F76" s="285" t="s">
        <v>528</v>
      </c>
      <c r="G76" s="285" t="s">
        <v>142</v>
      </c>
      <c r="H76" s="286">
        <v>6</v>
      </c>
      <c r="I76" s="287">
        <v>8.1999999999999993</v>
      </c>
      <c r="J76" s="288">
        <f>I76*H76</f>
        <v>49.199999999999996</v>
      </c>
      <c r="K76" s="311"/>
    </row>
    <row r="77" spans="1:18" s="312" customFormat="1" ht="30" customHeight="1">
      <c r="A77" s="314"/>
      <c r="B77" s="315"/>
      <c r="C77" s="314"/>
      <c r="D77" s="316"/>
      <c r="E77" s="316"/>
      <c r="F77" s="317" t="s">
        <v>6</v>
      </c>
      <c r="G77" s="316"/>
      <c r="H77" s="314"/>
      <c r="I77" s="314"/>
      <c r="J77" s="310">
        <f>SUM(J76:J76)</f>
        <v>49.199999999999996</v>
      </c>
      <c r="K77" s="311"/>
    </row>
    <row r="78" spans="1:18" s="279" customFormat="1" ht="30" customHeight="1">
      <c r="A78" s="313">
        <v>29</v>
      </c>
      <c r="B78" s="318" t="s">
        <v>540</v>
      </c>
      <c r="C78" s="659" t="s">
        <v>527</v>
      </c>
      <c r="D78" s="285">
        <v>2220</v>
      </c>
      <c r="E78" s="285">
        <v>1512</v>
      </c>
      <c r="F78" s="285" t="s">
        <v>528</v>
      </c>
      <c r="G78" s="285" t="s">
        <v>142</v>
      </c>
      <c r="H78" s="286">
        <v>30</v>
      </c>
      <c r="I78" s="287">
        <v>8.1999999999999993</v>
      </c>
      <c r="J78" s="288">
        <f>I78*H78</f>
        <v>245.99999999999997</v>
      </c>
      <c r="K78" s="319"/>
    </row>
    <row r="79" spans="1:18" s="312" customFormat="1" ht="30" customHeight="1">
      <c r="A79" s="314"/>
      <c r="B79" s="320"/>
      <c r="C79" s="321"/>
      <c r="D79" s="316"/>
      <c r="E79" s="316"/>
      <c r="F79" s="317" t="s">
        <v>6</v>
      </c>
      <c r="G79" s="316"/>
      <c r="H79" s="314"/>
      <c r="I79" s="314"/>
      <c r="J79" s="293">
        <f>SUM(J78:J78)</f>
        <v>245.99999999999997</v>
      </c>
      <c r="K79" s="311"/>
    </row>
    <row r="80" spans="1:18" s="312" customFormat="1" ht="30" customHeight="1">
      <c r="A80" s="660">
        <v>30</v>
      </c>
      <c r="B80" s="661" t="s">
        <v>287</v>
      </c>
      <c r="C80" s="662" t="s">
        <v>5</v>
      </c>
      <c r="D80" s="313">
        <v>2210</v>
      </c>
      <c r="E80" s="313" t="s">
        <v>15</v>
      </c>
      <c r="F80" s="669" t="s">
        <v>542</v>
      </c>
      <c r="G80" s="313" t="s">
        <v>483</v>
      </c>
      <c r="H80" s="660">
        <v>8.75</v>
      </c>
      <c r="I80" s="660"/>
      <c r="J80" s="296">
        <f>73.5+32.2</f>
        <v>105.7</v>
      </c>
      <c r="K80" s="311"/>
    </row>
    <row r="81" spans="1:19" s="671" customFormat="1" ht="30" customHeight="1">
      <c r="A81" s="314"/>
      <c r="B81" s="320"/>
      <c r="C81" s="321"/>
      <c r="D81" s="316"/>
      <c r="E81" s="316"/>
      <c r="F81" s="317" t="s">
        <v>6</v>
      </c>
      <c r="G81" s="316"/>
      <c r="H81" s="314"/>
      <c r="I81" s="314"/>
      <c r="J81" s="293">
        <f>SUM(J80)</f>
        <v>105.7</v>
      </c>
      <c r="K81" s="670"/>
    </row>
    <row r="82" spans="1:19" s="312" customFormat="1" ht="30" customHeight="1">
      <c r="A82" s="660">
        <v>31</v>
      </c>
      <c r="B82" s="661" t="s">
        <v>292</v>
      </c>
      <c r="C82" s="662" t="s">
        <v>5</v>
      </c>
      <c r="D82" s="313">
        <v>2210</v>
      </c>
      <c r="E82" s="313" t="s">
        <v>15</v>
      </c>
      <c r="F82" s="669" t="s">
        <v>543</v>
      </c>
      <c r="G82" s="313" t="s">
        <v>43</v>
      </c>
      <c r="H82" s="660">
        <v>22</v>
      </c>
      <c r="I82" s="660"/>
      <c r="J82" s="296">
        <f>36+80</f>
        <v>116</v>
      </c>
      <c r="K82" s="311"/>
    </row>
    <row r="83" spans="1:19" s="312" customFormat="1" ht="30" customHeight="1">
      <c r="A83" s="660"/>
      <c r="B83" s="661"/>
      <c r="C83" s="662"/>
      <c r="D83" s="313">
        <v>2210</v>
      </c>
      <c r="E83" s="313">
        <v>1518</v>
      </c>
      <c r="F83" s="669" t="s">
        <v>545</v>
      </c>
      <c r="G83" s="313" t="s">
        <v>13</v>
      </c>
      <c r="H83" s="660">
        <v>3</v>
      </c>
      <c r="I83" s="660"/>
      <c r="J83" s="296">
        <v>120</v>
      </c>
      <c r="K83" s="311"/>
    </row>
    <row r="84" spans="1:19" s="312" customFormat="1" ht="30" customHeight="1">
      <c r="A84" s="314"/>
      <c r="B84" s="320"/>
      <c r="C84" s="321"/>
      <c r="D84" s="316"/>
      <c r="E84" s="316"/>
      <c r="F84" s="317" t="s">
        <v>6</v>
      </c>
      <c r="G84" s="316"/>
      <c r="H84" s="314"/>
      <c r="I84" s="314"/>
      <c r="J84" s="293">
        <f>SUM(J82:J83)</f>
        <v>236</v>
      </c>
      <c r="K84" s="311"/>
    </row>
    <row r="85" spans="1:19" s="312" customFormat="1" ht="30" customHeight="1">
      <c r="A85" s="660">
        <v>32</v>
      </c>
      <c r="B85" s="661" t="s">
        <v>360</v>
      </c>
      <c r="C85" s="659" t="s">
        <v>527</v>
      </c>
      <c r="D85" s="285">
        <v>2220</v>
      </c>
      <c r="E85" s="285">
        <v>1512</v>
      </c>
      <c r="F85" s="285" t="s">
        <v>528</v>
      </c>
      <c r="G85" s="285" t="s">
        <v>142</v>
      </c>
      <c r="H85" s="286">
        <v>30</v>
      </c>
      <c r="I85" s="287">
        <v>8.1999999999999993</v>
      </c>
      <c r="J85" s="288">
        <f>I85*H85</f>
        <v>245.99999999999997</v>
      </c>
      <c r="K85" s="311"/>
    </row>
    <row r="86" spans="1:19" s="335" customFormat="1" ht="30" customHeight="1">
      <c r="A86" s="329"/>
      <c r="B86" s="330"/>
      <c r="C86" s="330"/>
      <c r="D86" s="330"/>
      <c r="E86" s="330"/>
      <c r="F86" s="331"/>
      <c r="G86" s="332"/>
      <c r="H86" s="330"/>
      <c r="I86" s="333"/>
      <c r="J86" s="334">
        <f>SUM(J85)</f>
        <v>245.99999999999997</v>
      </c>
    </row>
    <row r="87" spans="1:19" s="328" customFormat="1" ht="30" customHeight="1">
      <c r="A87" s="324">
        <v>33</v>
      </c>
      <c r="B87" s="324" t="s">
        <v>541</v>
      </c>
      <c r="C87" s="659" t="s">
        <v>527</v>
      </c>
      <c r="D87" s="285">
        <v>2220</v>
      </c>
      <c r="E87" s="285">
        <v>1512</v>
      </c>
      <c r="F87" s="285" t="s">
        <v>528</v>
      </c>
      <c r="G87" s="285" t="s">
        <v>142</v>
      </c>
      <c r="H87" s="286">
        <v>30</v>
      </c>
      <c r="I87" s="287">
        <v>8.1999999999999993</v>
      </c>
      <c r="J87" s="288">
        <f>I87*H87</f>
        <v>245.99999999999997</v>
      </c>
    </row>
    <row r="88" spans="1:19" s="335" customFormat="1" ht="30" customHeight="1">
      <c r="A88" s="329"/>
      <c r="B88" s="330"/>
      <c r="C88" s="330"/>
      <c r="D88" s="330"/>
      <c r="E88" s="330"/>
      <c r="F88" s="331" t="s">
        <v>6</v>
      </c>
      <c r="G88" s="332"/>
      <c r="H88" s="330"/>
      <c r="I88" s="333"/>
      <c r="J88" s="334">
        <f>SUM(J87:J87)</f>
        <v>245.99999999999997</v>
      </c>
    </row>
    <row r="89" spans="1:19" s="323" customFormat="1" ht="30" customHeight="1">
      <c r="A89" s="322"/>
      <c r="B89" s="663"/>
      <c r="C89" s="664"/>
      <c r="D89" s="664"/>
      <c r="E89" s="664"/>
      <c r="F89" s="667" t="s">
        <v>44</v>
      </c>
      <c r="G89" s="668"/>
      <c r="H89" s="668"/>
      <c r="I89" s="668"/>
      <c r="J89" s="667">
        <f>J88+J86+J84+J81+J79</f>
        <v>1079.7</v>
      </c>
      <c r="K89" s="665"/>
      <c r="L89" s="665"/>
      <c r="M89" s="665"/>
      <c r="N89" s="666"/>
    </row>
    <row r="90" spans="1:19" s="328" customFormat="1" ht="30" customHeight="1">
      <c r="A90" s="324">
        <v>34</v>
      </c>
      <c r="B90" s="672" t="s">
        <v>544</v>
      </c>
      <c r="C90" s="672" t="s">
        <v>5</v>
      </c>
      <c r="D90" s="672">
        <v>2210</v>
      </c>
      <c r="E90" s="672" t="s">
        <v>15</v>
      </c>
      <c r="F90" s="673" t="s">
        <v>546</v>
      </c>
      <c r="G90" s="674" t="s">
        <v>43</v>
      </c>
      <c r="H90" s="674">
        <v>5</v>
      </c>
      <c r="I90" s="674">
        <v>12</v>
      </c>
      <c r="J90" s="675">
        <v>60</v>
      </c>
      <c r="K90" s="676"/>
      <c r="L90" s="676"/>
      <c r="M90" s="676"/>
      <c r="N90" s="676"/>
    </row>
    <row r="91" spans="1:19" s="328" customFormat="1" ht="30" customHeight="1">
      <c r="A91" s="324"/>
      <c r="B91" s="672"/>
      <c r="C91" s="672"/>
      <c r="D91" s="672">
        <v>2210</v>
      </c>
      <c r="E91" s="672">
        <v>1518</v>
      </c>
      <c r="F91" s="673" t="s">
        <v>545</v>
      </c>
      <c r="G91" s="674" t="s">
        <v>13</v>
      </c>
      <c r="H91" s="674">
        <v>2</v>
      </c>
      <c r="I91" s="674"/>
      <c r="J91" s="675">
        <v>2</v>
      </c>
      <c r="K91" s="676"/>
      <c r="L91" s="676"/>
      <c r="M91" s="676"/>
      <c r="N91" s="676"/>
    </row>
    <row r="92" spans="1:19" s="335" customFormat="1" ht="30" customHeight="1">
      <c r="A92" s="329"/>
      <c r="B92" s="330"/>
      <c r="C92" s="330"/>
      <c r="D92" s="330"/>
      <c r="E92" s="330"/>
      <c r="F92" s="331" t="s">
        <v>6</v>
      </c>
      <c r="G92" s="677"/>
      <c r="H92" s="677"/>
      <c r="I92" s="677"/>
      <c r="J92" s="667">
        <f>SUM(J90:J91)</f>
        <v>62</v>
      </c>
      <c r="K92" s="678"/>
      <c r="L92" s="678"/>
      <c r="M92" s="678"/>
      <c r="N92" s="678"/>
    </row>
    <row r="93" spans="1:19" s="340" customFormat="1" ht="30" customHeight="1" thickBot="1">
      <c r="A93" s="322"/>
      <c r="B93" s="714" t="s">
        <v>176</v>
      </c>
      <c r="C93" s="715"/>
      <c r="D93" s="715"/>
      <c r="E93" s="715"/>
      <c r="F93" s="716"/>
      <c r="G93" s="336"/>
      <c r="H93" s="337"/>
      <c r="I93" s="338"/>
      <c r="J93" s="339">
        <f>J89+J77+J75+J92</f>
        <v>24607.75</v>
      </c>
      <c r="K93" s="328"/>
      <c r="L93" s="328"/>
      <c r="M93" s="328"/>
      <c r="N93" s="328"/>
      <c r="O93" s="328"/>
      <c r="P93" s="328"/>
      <c r="Q93" s="328"/>
      <c r="R93" s="328"/>
      <c r="S93" s="328"/>
    </row>
    <row r="94" spans="1:19" s="328" customFormat="1" ht="21.75" customHeight="1">
      <c r="A94" s="341"/>
      <c r="B94" s="342"/>
      <c r="C94" s="342"/>
      <c r="D94" s="342"/>
      <c r="E94" s="342"/>
      <c r="F94" s="342"/>
      <c r="G94" s="343"/>
      <c r="H94" s="342"/>
      <c r="I94" s="343"/>
      <c r="J94" s="344"/>
    </row>
    <row r="95" spans="1:19" s="328" customFormat="1" ht="21.75" customHeight="1">
      <c r="A95" s="341"/>
      <c r="B95" s="711" t="s">
        <v>191</v>
      </c>
      <c r="C95" s="711"/>
      <c r="D95" s="711"/>
      <c r="E95" s="711"/>
      <c r="F95" s="342"/>
      <c r="G95" s="343"/>
      <c r="H95" s="342"/>
      <c r="I95" s="343"/>
      <c r="J95" s="344"/>
    </row>
    <row r="96" spans="1:19" s="340" customFormat="1">
      <c r="A96" s="278"/>
      <c r="B96" s="711"/>
      <c r="C96" s="711"/>
      <c r="D96" s="711"/>
      <c r="E96" s="345"/>
      <c r="F96" s="346"/>
      <c r="G96" s="345"/>
      <c r="H96" s="347"/>
      <c r="I96" s="345"/>
      <c r="J96" s="348"/>
      <c r="K96" s="328"/>
      <c r="L96" s="328"/>
      <c r="M96" s="328"/>
      <c r="N96" s="328"/>
      <c r="O96" s="328"/>
      <c r="P96" s="328"/>
      <c r="Q96" s="328"/>
      <c r="R96" s="328"/>
      <c r="S96" s="328"/>
    </row>
    <row r="97" spans="1:19" s="340" customFormat="1">
      <c r="A97" s="278"/>
      <c r="B97" s="711"/>
      <c r="C97" s="711"/>
      <c r="D97" s="711"/>
      <c r="E97" s="711"/>
      <c r="F97" s="349"/>
      <c r="G97" s="345"/>
      <c r="H97" s="347"/>
      <c r="I97" s="345"/>
      <c r="J97" s="348"/>
      <c r="K97" s="328"/>
      <c r="L97" s="328"/>
      <c r="M97" s="328"/>
      <c r="N97" s="328"/>
      <c r="O97" s="328"/>
      <c r="P97" s="328"/>
      <c r="Q97" s="328"/>
      <c r="R97" s="328"/>
      <c r="S97" s="328"/>
    </row>
    <row r="98" spans="1:19">
      <c r="A98" s="345"/>
      <c r="B98" s="347"/>
      <c r="C98" s="347"/>
      <c r="D98" s="347"/>
      <c r="E98" s="347"/>
      <c r="F98" s="347"/>
      <c r="G98" s="347"/>
      <c r="H98" s="347"/>
      <c r="I98" s="350"/>
      <c r="J98" s="347"/>
      <c r="K98" s="279"/>
      <c r="L98" s="279"/>
      <c r="M98" s="279"/>
      <c r="N98" s="279"/>
      <c r="O98" s="279"/>
      <c r="P98" s="279"/>
      <c r="Q98" s="279"/>
      <c r="R98" s="279"/>
      <c r="S98" s="279"/>
    </row>
    <row r="99" spans="1:19">
      <c r="A99" s="345"/>
      <c r="B99" s="347"/>
      <c r="C99" s="347"/>
      <c r="D99" s="347"/>
      <c r="E99" s="347"/>
      <c r="F99" s="347"/>
      <c r="G99" s="347"/>
      <c r="H99" s="347"/>
      <c r="I99" s="350"/>
      <c r="J99" s="347"/>
      <c r="K99" s="279"/>
      <c r="L99" s="279"/>
      <c r="M99" s="279"/>
      <c r="N99" s="279"/>
      <c r="O99" s="279"/>
      <c r="P99" s="279"/>
      <c r="Q99" s="279"/>
      <c r="R99" s="279"/>
      <c r="S99" s="279"/>
    </row>
    <row r="100" spans="1:19">
      <c r="A100" s="345"/>
      <c r="B100" s="347"/>
      <c r="C100" s="347"/>
      <c r="D100" s="347"/>
      <c r="E100" s="347"/>
      <c r="F100" s="347"/>
      <c r="G100" s="347"/>
      <c r="H100" s="347"/>
      <c r="I100" s="350"/>
      <c r="J100" s="347"/>
    </row>
    <row r="101" spans="1:19">
      <c r="A101" s="345"/>
      <c r="B101" s="345"/>
      <c r="C101" s="345"/>
      <c r="D101" s="345"/>
      <c r="E101" s="345"/>
      <c r="F101" s="347"/>
      <c r="G101" s="345"/>
      <c r="H101" s="347"/>
      <c r="I101" s="351"/>
      <c r="J101" s="345"/>
    </row>
    <row r="102" spans="1:19">
      <c r="A102" s="345"/>
      <c r="B102" s="345"/>
      <c r="C102" s="345"/>
      <c r="D102" s="345"/>
      <c r="E102" s="345"/>
      <c r="F102" s="347"/>
      <c r="G102" s="345"/>
      <c r="H102" s="347"/>
      <c r="I102" s="351"/>
      <c r="J102" s="345"/>
    </row>
    <row r="103" spans="1:19">
      <c r="A103" s="345"/>
      <c r="B103" s="345"/>
      <c r="C103" s="345"/>
      <c r="D103" s="345"/>
      <c r="E103" s="345"/>
      <c r="F103" s="347"/>
      <c r="G103" s="345"/>
      <c r="H103" s="347"/>
      <c r="I103" s="351"/>
      <c r="J103" s="345"/>
    </row>
  </sheetData>
  <mergeCells count="6">
    <mergeCell ref="B96:D96"/>
    <mergeCell ref="B97:E97"/>
    <mergeCell ref="A1:J1"/>
    <mergeCell ref="A75:I75"/>
    <mergeCell ref="B93:F93"/>
    <mergeCell ref="B95:E95"/>
  </mergeCells>
  <phoneticPr fontId="21" type="noConversion"/>
  <pageMargins left="0.75" right="0.75" top="1" bottom="1" header="0.5" footer="0.5"/>
  <pageSetup paperSize="9" scale="40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 enableFormatConditionsCalculation="0">
    <tabColor indexed="14"/>
  </sheetPr>
  <dimension ref="A1:S81"/>
  <sheetViews>
    <sheetView topLeftCell="A6" zoomScale="75" workbookViewId="0">
      <selection activeCell="B71" sqref="B71:F71"/>
    </sheetView>
  </sheetViews>
  <sheetFormatPr defaultRowHeight="23.25"/>
  <cols>
    <col min="1" max="1" width="8" style="280" customWidth="1"/>
    <col min="2" max="2" width="21.7109375" style="280" customWidth="1"/>
    <col min="3" max="3" width="19.140625" style="280" customWidth="1"/>
    <col min="4" max="4" width="10.28515625" style="280" customWidth="1"/>
    <col min="5" max="5" width="10.140625" style="280" customWidth="1"/>
    <col min="6" max="6" width="74.42578125" style="278" customWidth="1"/>
    <col min="7" max="7" width="13.140625" style="280" customWidth="1"/>
    <col min="8" max="8" width="12.7109375" style="278" customWidth="1"/>
    <col min="9" max="9" width="16.85546875" style="352" customWidth="1"/>
    <col min="10" max="10" width="21.140625" style="280" customWidth="1"/>
    <col min="11" max="11" width="13.85546875" style="280" customWidth="1"/>
    <col min="12" max="14" width="9.140625" style="280" hidden="1" customWidth="1"/>
    <col min="15" max="16384" width="9.140625" style="280"/>
  </cols>
  <sheetData>
    <row r="1" spans="1:18" ht="29.25" customHeight="1" thickBot="1">
      <c r="A1" s="712" t="s">
        <v>582</v>
      </c>
      <c r="B1" s="712"/>
      <c r="C1" s="712"/>
      <c r="D1" s="712"/>
      <c r="E1" s="712"/>
      <c r="F1" s="712"/>
      <c r="G1" s="712"/>
      <c r="H1" s="712"/>
      <c r="I1" s="712"/>
      <c r="J1" s="712"/>
      <c r="K1" s="279"/>
      <c r="L1" s="279"/>
      <c r="M1" s="279"/>
      <c r="N1" s="279"/>
      <c r="O1" s="279"/>
      <c r="P1" s="279"/>
      <c r="Q1" s="279"/>
      <c r="R1" s="279"/>
    </row>
    <row r="2" spans="1:18" ht="40.5" customHeight="1" thickBot="1">
      <c r="A2" s="281" t="s">
        <v>0</v>
      </c>
      <c r="B2" s="282" t="s">
        <v>1</v>
      </c>
      <c r="C2" s="282" t="s">
        <v>96</v>
      </c>
      <c r="D2" s="282" t="s">
        <v>2</v>
      </c>
      <c r="E2" s="282" t="s">
        <v>95</v>
      </c>
      <c r="F2" s="282" t="s">
        <v>3</v>
      </c>
      <c r="G2" s="283" t="s">
        <v>97</v>
      </c>
      <c r="H2" s="282" t="s">
        <v>4</v>
      </c>
      <c r="I2" s="284" t="s">
        <v>98</v>
      </c>
      <c r="J2" s="282" t="s">
        <v>99</v>
      </c>
      <c r="K2" s="279"/>
      <c r="L2" s="279"/>
      <c r="M2" s="279"/>
      <c r="N2" s="279"/>
      <c r="O2" s="279"/>
      <c r="P2" s="279"/>
      <c r="Q2" s="279"/>
      <c r="R2" s="279"/>
    </row>
    <row r="3" spans="1:18" ht="29.25" customHeight="1">
      <c r="A3" s="285">
        <v>1</v>
      </c>
      <c r="B3" s="285" t="s">
        <v>548</v>
      </c>
      <c r="C3" s="285" t="s">
        <v>5</v>
      </c>
      <c r="D3" s="285">
        <v>2220</v>
      </c>
      <c r="E3" s="285">
        <v>1512</v>
      </c>
      <c r="F3" s="285" t="s">
        <v>547</v>
      </c>
      <c r="G3" s="285" t="s">
        <v>13</v>
      </c>
      <c r="H3" s="286">
        <v>4</v>
      </c>
      <c r="I3" s="287"/>
      <c r="J3" s="288">
        <v>1412</v>
      </c>
      <c r="K3" s="279"/>
      <c r="L3" s="279"/>
      <c r="M3" s="279"/>
      <c r="N3" s="279"/>
      <c r="O3" s="279"/>
      <c r="P3" s="279"/>
      <c r="Q3" s="279"/>
      <c r="R3" s="279"/>
    </row>
    <row r="4" spans="1:18" ht="21" customHeight="1">
      <c r="A4" s="289"/>
      <c r="B4" s="289"/>
      <c r="C4" s="289"/>
      <c r="D4" s="289"/>
      <c r="E4" s="289"/>
      <c r="F4" s="290" t="s">
        <v>105</v>
      </c>
      <c r="G4" s="289"/>
      <c r="H4" s="291"/>
      <c r="I4" s="292"/>
      <c r="J4" s="293">
        <f>SUM(J3:J3)</f>
        <v>1412</v>
      </c>
      <c r="K4" s="279"/>
      <c r="L4" s="279"/>
      <c r="M4" s="279"/>
      <c r="N4" s="279"/>
      <c r="O4" s="279"/>
      <c r="P4" s="279"/>
      <c r="Q4" s="279"/>
      <c r="R4" s="279"/>
    </row>
    <row r="5" spans="1:18" ht="21" customHeight="1">
      <c r="A5" s="294">
        <v>2</v>
      </c>
      <c r="B5" s="294" t="s">
        <v>549</v>
      </c>
      <c r="C5" s="294" t="s">
        <v>5</v>
      </c>
      <c r="D5" s="294">
        <v>2220</v>
      </c>
      <c r="E5" s="294">
        <v>1512</v>
      </c>
      <c r="F5" s="285" t="s">
        <v>192</v>
      </c>
      <c r="G5" s="285" t="s">
        <v>13</v>
      </c>
      <c r="H5" s="295" t="s">
        <v>111</v>
      </c>
      <c r="I5" s="287"/>
      <c r="J5" s="296">
        <v>540</v>
      </c>
      <c r="K5" s="279"/>
      <c r="L5" s="279"/>
      <c r="M5" s="279"/>
      <c r="N5" s="279"/>
      <c r="O5" s="279"/>
      <c r="P5" s="279"/>
      <c r="Q5" s="279"/>
      <c r="R5" s="279"/>
    </row>
    <row r="6" spans="1:18" ht="21" customHeight="1">
      <c r="A6" s="294"/>
      <c r="B6" s="294"/>
      <c r="C6" s="294"/>
      <c r="D6" s="294">
        <v>2210</v>
      </c>
      <c r="E6" s="294" t="s">
        <v>19</v>
      </c>
      <c r="F6" s="294" t="s">
        <v>180</v>
      </c>
      <c r="G6" s="294" t="s">
        <v>43</v>
      </c>
      <c r="H6" s="297">
        <v>6</v>
      </c>
      <c r="I6" s="298"/>
      <c r="J6" s="299">
        <v>76</v>
      </c>
      <c r="K6" s="279"/>
      <c r="L6" s="279"/>
      <c r="M6" s="279"/>
      <c r="N6" s="279"/>
      <c r="O6" s="279"/>
      <c r="P6" s="279"/>
      <c r="Q6" s="279"/>
      <c r="R6" s="279"/>
    </row>
    <row r="7" spans="1:18" ht="21" customHeight="1">
      <c r="A7" s="294"/>
      <c r="B7" s="294"/>
      <c r="C7" s="294"/>
      <c r="D7" s="294">
        <v>2210</v>
      </c>
      <c r="E7" s="294" t="s">
        <v>15</v>
      </c>
      <c r="F7" s="294" t="s">
        <v>501</v>
      </c>
      <c r="G7" s="294" t="s">
        <v>43</v>
      </c>
      <c r="H7" s="297">
        <v>3</v>
      </c>
      <c r="I7" s="298"/>
      <c r="J7" s="299">
        <v>85.5</v>
      </c>
      <c r="K7" s="279"/>
      <c r="L7" s="279"/>
      <c r="M7" s="279"/>
      <c r="N7" s="279"/>
      <c r="O7" s="279"/>
      <c r="P7" s="279"/>
      <c r="Q7" s="279"/>
      <c r="R7" s="279"/>
    </row>
    <row r="8" spans="1:18" s="305" customFormat="1" ht="21" customHeight="1">
      <c r="A8" s="300"/>
      <c r="B8" s="300"/>
      <c r="C8" s="300"/>
      <c r="D8" s="300"/>
      <c r="E8" s="300"/>
      <c r="F8" s="301" t="s">
        <v>6</v>
      </c>
      <c r="G8" s="300"/>
      <c r="H8" s="302"/>
      <c r="I8" s="303"/>
      <c r="J8" s="304">
        <f>SUM(J5:J7)</f>
        <v>701.5</v>
      </c>
      <c r="K8" s="279"/>
      <c r="L8" s="279"/>
      <c r="M8" s="279"/>
      <c r="N8" s="279"/>
      <c r="O8" s="279"/>
      <c r="P8" s="279"/>
      <c r="Q8" s="279"/>
      <c r="R8" s="279"/>
    </row>
    <row r="9" spans="1:18" s="279" customFormat="1" ht="22.5" customHeight="1">
      <c r="A9" s="285">
        <v>3</v>
      </c>
      <c r="B9" s="285" t="s">
        <v>9</v>
      </c>
      <c r="C9" s="285" t="s">
        <v>5</v>
      </c>
      <c r="D9" s="285">
        <v>2220</v>
      </c>
      <c r="E9" s="285">
        <v>1512</v>
      </c>
      <c r="F9" s="285" t="s">
        <v>243</v>
      </c>
      <c r="G9" s="285" t="s">
        <v>13</v>
      </c>
      <c r="H9" s="295" t="s">
        <v>111</v>
      </c>
      <c r="I9" s="287"/>
      <c r="J9" s="296">
        <v>600</v>
      </c>
    </row>
    <row r="10" spans="1:18" s="279" customFormat="1" ht="21" customHeight="1">
      <c r="A10" s="285"/>
      <c r="B10" s="285"/>
      <c r="C10" s="285"/>
      <c r="D10" s="285">
        <v>2210</v>
      </c>
      <c r="E10" s="285" t="s">
        <v>19</v>
      </c>
      <c r="F10" s="285" t="s">
        <v>180</v>
      </c>
      <c r="G10" s="285" t="s">
        <v>550</v>
      </c>
      <c r="H10" s="286">
        <v>24</v>
      </c>
      <c r="I10" s="287"/>
      <c r="J10" s="296">
        <v>96</v>
      </c>
    </row>
    <row r="11" spans="1:18" s="279" customFormat="1" ht="21" customHeight="1">
      <c r="A11" s="285"/>
      <c r="B11" s="285"/>
      <c r="C11" s="285"/>
      <c r="D11" s="285">
        <v>2210</v>
      </c>
      <c r="E11" s="285" t="s">
        <v>15</v>
      </c>
      <c r="F11" s="285" t="s">
        <v>551</v>
      </c>
      <c r="G11" s="285" t="s">
        <v>195</v>
      </c>
      <c r="H11" s="295" t="s">
        <v>552</v>
      </c>
      <c r="I11" s="287"/>
      <c r="J11" s="296">
        <v>240</v>
      </c>
    </row>
    <row r="12" spans="1:18" s="305" customFormat="1" ht="21" customHeight="1">
      <c r="A12" s="300"/>
      <c r="B12" s="300"/>
      <c r="C12" s="300"/>
      <c r="D12" s="300"/>
      <c r="E12" s="300"/>
      <c r="F12" s="301" t="s">
        <v>6</v>
      </c>
      <c r="G12" s="300"/>
      <c r="H12" s="302"/>
      <c r="I12" s="303"/>
      <c r="J12" s="304">
        <f>SUM(J9:J11)</f>
        <v>936</v>
      </c>
      <c r="K12" s="279"/>
      <c r="L12" s="279"/>
      <c r="M12" s="279"/>
      <c r="N12" s="279"/>
      <c r="O12" s="279"/>
      <c r="P12" s="279"/>
      <c r="Q12" s="279"/>
      <c r="R12" s="279"/>
    </row>
    <row r="13" spans="1:18" s="279" customFormat="1" ht="21" customHeight="1">
      <c r="A13" s="285">
        <v>4</v>
      </c>
      <c r="B13" s="285" t="s">
        <v>252</v>
      </c>
      <c r="C13" s="285" t="s">
        <v>5</v>
      </c>
      <c r="D13" s="285">
        <v>2210</v>
      </c>
      <c r="E13" s="285">
        <v>1113</v>
      </c>
      <c r="F13" s="285" t="s">
        <v>553</v>
      </c>
      <c r="G13" s="285" t="s">
        <v>43</v>
      </c>
      <c r="H13" s="295" t="s">
        <v>49</v>
      </c>
      <c r="I13" s="287"/>
      <c r="J13" s="296">
        <v>200</v>
      </c>
    </row>
    <row r="14" spans="1:18" s="279" customFormat="1" ht="45" customHeight="1">
      <c r="A14" s="285"/>
      <c r="B14" s="285"/>
      <c r="C14" s="285"/>
      <c r="D14" s="285">
        <v>2210</v>
      </c>
      <c r="E14" s="285">
        <v>1113</v>
      </c>
      <c r="F14" s="306" t="s">
        <v>554</v>
      </c>
      <c r="G14" s="285" t="s">
        <v>43</v>
      </c>
      <c r="H14" s="295" t="s">
        <v>49</v>
      </c>
      <c r="I14" s="287"/>
      <c r="J14" s="296">
        <v>200</v>
      </c>
    </row>
    <row r="15" spans="1:18" s="279" customFormat="1" ht="21" customHeight="1">
      <c r="A15" s="285"/>
      <c r="B15" s="285"/>
      <c r="C15" s="285"/>
      <c r="D15" s="285">
        <v>2220</v>
      </c>
      <c r="E15" s="285">
        <v>1512</v>
      </c>
      <c r="F15" s="285" t="s">
        <v>469</v>
      </c>
      <c r="G15" s="285" t="s">
        <v>13</v>
      </c>
      <c r="H15" s="295" t="s">
        <v>175</v>
      </c>
      <c r="I15" s="287"/>
      <c r="J15" s="296">
        <v>560</v>
      </c>
    </row>
    <row r="16" spans="1:18" s="305" customFormat="1" ht="21" customHeight="1">
      <c r="A16" s="300"/>
      <c r="B16" s="300"/>
      <c r="C16" s="300"/>
      <c r="D16" s="300"/>
      <c r="E16" s="300"/>
      <c r="F16" s="301" t="s">
        <v>6</v>
      </c>
      <c r="G16" s="300"/>
      <c r="H16" s="302"/>
      <c r="I16" s="303"/>
      <c r="J16" s="304">
        <f>SUM(J13:J15)</f>
        <v>960</v>
      </c>
      <c r="K16" s="279"/>
      <c r="L16" s="279"/>
      <c r="M16" s="279"/>
      <c r="N16" s="279"/>
      <c r="O16" s="279"/>
      <c r="P16" s="279"/>
      <c r="Q16" s="279"/>
      <c r="R16" s="279"/>
    </row>
    <row r="17" spans="1:18" s="279" customFormat="1" ht="21" customHeight="1">
      <c r="A17" s="285">
        <v>5</v>
      </c>
      <c r="B17" s="285" t="s">
        <v>555</v>
      </c>
      <c r="C17" s="285" t="s">
        <v>5</v>
      </c>
      <c r="D17" s="285">
        <v>2220</v>
      </c>
      <c r="E17" s="285">
        <v>1512</v>
      </c>
      <c r="F17" s="285" t="s">
        <v>192</v>
      </c>
      <c r="G17" s="285" t="s">
        <v>13</v>
      </c>
      <c r="H17" s="295" t="s">
        <v>134</v>
      </c>
      <c r="I17" s="287"/>
      <c r="J17" s="296">
        <v>1500</v>
      </c>
    </row>
    <row r="18" spans="1:18" s="279" customFormat="1" ht="21" customHeight="1">
      <c r="A18" s="285"/>
      <c r="B18" s="285"/>
      <c r="C18" s="285"/>
      <c r="D18" s="285">
        <v>2210</v>
      </c>
      <c r="E18" s="285" t="s">
        <v>19</v>
      </c>
      <c r="F18" s="285" t="s">
        <v>556</v>
      </c>
      <c r="G18" s="285" t="s">
        <v>43</v>
      </c>
      <c r="H18" s="295" t="s">
        <v>317</v>
      </c>
      <c r="I18" s="287"/>
      <c r="J18" s="296">
        <v>55</v>
      </c>
    </row>
    <row r="19" spans="1:18" s="279" customFormat="1" ht="21" customHeight="1">
      <c r="A19" s="285"/>
      <c r="B19" s="285"/>
      <c r="C19" s="285"/>
      <c r="D19" s="285">
        <v>2210</v>
      </c>
      <c r="E19" s="285" t="s">
        <v>15</v>
      </c>
      <c r="F19" s="285" t="s">
        <v>557</v>
      </c>
      <c r="G19" s="285" t="s">
        <v>43</v>
      </c>
      <c r="H19" s="295" t="s">
        <v>57</v>
      </c>
      <c r="I19" s="287"/>
      <c r="J19" s="296">
        <v>371.9</v>
      </c>
    </row>
    <row r="20" spans="1:18" s="279" customFormat="1" ht="21" customHeight="1">
      <c r="A20" s="285"/>
      <c r="B20" s="285"/>
      <c r="C20" s="285"/>
      <c r="D20" s="285">
        <v>2210</v>
      </c>
      <c r="E20" s="285" t="s">
        <v>15</v>
      </c>
      <c r="F20" s="285" t="s">
        <v>503</v>
      </c>
      <c r="G20" s="285" t="s">
        <v>142</v>
      </c>
      <c r="H20" s="295" t="s">
        <v>558</v>
      </c>
      <c r="I20" s="287"/>
      <c r="J20" s="296">
        <v>200.1</v>
      </c>
    </row>
    <row r="21" spans="1:18" s="305" customFormat="1" ht="21" customHeight="1">
      <c r="A21" s="300"/>
      <c r="B21" s="300"/>
      <c r="C21" s="300"/>
      <c r="D21" s="300"/>
      <c r="E21" s="300"/>
      <c r="F21" s="301" t="s">
        <v>6</v>
      </c>
      <c r="G21" s="300"/>
      <c r="H21" s="302"/>
      <c r="I21" s="303"/>
      <c r="J21" s="304">
        <f>SUM(J17:J20)</f>
        <v>2127</v>
      </c>
      <c r="K21" s="279"/>
      <c r="L21" s="279"/>
      <c r="M21" s="279"/>
      <c r="N21" s="279"/>
      <c r="O21" s="279"/>
      <c r="P21" s="279"/>
      <c r="Q21" s="279"/>
      <c r="R21" s="279"/>
    </row>
    <row r="22" spans="1:18" s="312" customFormat="1" ht="21" customHeight="1">
      <c r="A22" s="717" t="s">
        <v>196</v>
      </c>
      <c r="B22" s="718"/>
      <c r="C22" s="718"/>
      <c r="D22" s="718"/>
      <c r="E22" s="718"/>
      <c r="F22" s="718"/>
      <c r="G22" s="718"/>
      <c r="H22" s="719"/>
      <c r="I22" s="668"/>
      <c r="J22" s="680">
        <f>J16+J12+J8+J4+J21</f>
        <v>6136.5</v>
      </c>
      <c r="K22" s="311"/>
    </row>
    <row r="23" spans="1:18" s="279" customFormat="1" ht="52.5" customHeight="1">
      <c r="A23" s="285">
        <v>6</v>
      </c>
      <c r="B23" s="285" t="s">
        <v>559</v>
      </c>
      <c r="C23" s="679" t="s">
        <v>560</v>
      </c>
      <c r="D23" s="285">
        <v>2210</v>
      </c>
      <c r="E23" s="285">
        <v>1113</v>
      </c>
      <c r="F23" s="285" t="s">
        <v>423</v>
      </c>
      <c r="G23" s="285" t="s">
        <v>43</v>
      </c>
      <c r="H23" s="286">
        <v>1</v>
      </c>
      <c r="I23" s="287">
        <v>1500</v>
      </c>
      <c r="J23" s="296">
        <v>1500</v>
      </c>
    </row>
    <row r="24" spans="1:18" s="279" customFormat="1" ht="52.5" customHeight="1">
      <c r="A24" s="285"/>
      <c r="B24" s="285"/>
      <c r="C24" s="679" t="s">
        <v>560</v>
      </c>
      <c r="D24" s="285">
        <v>2210</v>
      </c>
      <c r="E24" s="285">
        <v>1113</v>
      </c>
      <c r="F24" s="285" t="s">
        <v>561</v>
      </c>
      <c r="G24" s="285" t="s">
        <v>43</v>
      </c>
      <c r="H24" s="295" t="s">
        <v>49</v>
      </c>
      <c r="I24" s="287">
        <v>4320</v>
      </c>
      <c r="J24" s="296">
        <v>4320</v>
      </c>
    </row>
    <row r="25" spans="1:18" s="279" customFormat="1" ht="52.5" customHeight="1">
      <c r="A25" s="285"/>
      <c r="B25" s="285"/>
      <c r="C25" s="679" t="s">
        <v>560</v>
      </c>
      <c r="D25" s="285">
        <v>2210</v>
      </c>
      <c r="E25" s="285">
        <v>1113</v>
      </c>
      <c r="F25" s="285" t="s">
        <v>562</v>
      </c>
      <c r="G25" s="285" t="s">
        <v>43</v>
      </c>
      <c r="H25" s="295" t="s">
        <v>49</v>
      </c>
      <c r="I25" s="287">
        <v>2673</v>
      </c>
      <c r="J25" s="296">
        <v>2673</v>
      </c>
    </row>
    <row r="26" spans="1:18" s="279" customFormat="1" ht="52.5" customHeight="1">
      <c r="A26" s="285"/>
      <c r="B26" s="285"/>
      <c r="C26" s="679" t="s">
        <v>560</v>
      </c>
      <c r="D26" s="285">
        <v>2210</v>
      </c>
      <c r="E26" s="285">
        <v>1113</v>
      </c>
      <c r="F26" s="285" t="s">
        <v>426</v>
      </c>
      <c r="G26" s="285" t="s">
        <v>43</v>
      </c>
      <c r="H26" s="295" t="s">
        <v>49</v>
      </c>
      <c r="I26" s="287">
        <v>2340</v>
      </c>
      <c r="J26" s="296">
        <v>2340</v>
      </c>
    </row>
    <row r="27" spans="1:18" s="279" customFormat="1" ht="52.5" customHeight="1">
      <c r="A27" s="285"/>
      <c r="B27" s="285"/>
      <c r="C27" s="679" t="s">
        <v>560</v>
      </c>
      <c r="D27" s="285">
        <v>2210</v>
      </c>
      <c r="E27" s="285">
        <v>1113</v>
      </c>
      <c r="F27" s="285" t="s">
        <v>427</v>
      </c>
      <c r="G27" s="285" t="s">
        <v>43</v>
      </c>
      <c r="H27" s="295" t="s">
        <v>563</v>
      </c>
      <c r="I27" s="287">
        <v>1100</v>
      </c>
      <c r="J27" s="296">
        <v>4400</v>
      </c>
    </row>
    <row r="28" spans="1:18" s="279" customFormat="1" ht="52.5" customHeight="1">
      <c r="A28" s="285"/>
      <c r="B28" s="285"/>
      <c r="C28" s="679" t="s">
        <v>560</v>
      </c>
      <c r="D28" s="285">
        <v>2210</v>
      </c>
      <c r="E28" s="285">
        <v>1113</v>
      </c>
      <c r="F28" s="285" t="s">
        <v>428</v>
      </c>
      <c r="G28" s="285" t="s">
        <v>43</v>
      </c>
      <c r="H28" s="295" t="s">
        <v>49</v>
      </c>
      <c r="I28" s="287">
        <v>2550</v>
      </c>
      <c r="J28" s="296">
        <v>2550</v>
      </c>
    </row>
    <row r="29" spans="1:18" s="279" customFormat="1" ht="52.5" customHeight="1">
      <c r="A29" s="285"/>
      <c r="B29" s="285"/>
      <c r="C29" s="679" t="s">
        <v>560</v>
      </c>
      <c r="D29" s="285">
        <v>2210</v>
      </c>
      <c r="E29" s="285">
        <v>1113</v>
      </c>
      <c r="F29" s="285" t="s">
        <v>429</v>
      </c>
      <c r="G29" s="285" t="s">
        <v>43</v>
      </c>
      <c r="H29" s="295" t="s">
        <v>49</v>
      </c>
      <c r="I29" s="287">
        <v>1090</v>
      </c>
      <c r="J29" s="296">
        <v>1090</v>
      </c>
    </row>
    <row r="30" spans="1:18" s="279" customFormat="1" ht="52.5" customHeight="1">
      <c r="A30" s="285"/>
      <c r="B30" s="285"/>
      <c r="C30" s="679" t="s">
        <v>560</v>
      </c>
      <c r="D30" s="285">
        <v>2210</v>
      </c>
      <c r="E30" s="285">
        <v>1113</v>
      </c>
      <c r="F30" s="285" t="s">
        <v>421</v>
      </c>
      <c r="G30" s="285" t="s">
        <v>43</v>
      </c>
      <c r="H30" s="295" t="s">
        <v>49</v>
      </c>
      <c r="I30" s="287">
        <v>3250</v>
      </c>
      <c r="J30" s="296">
        <v>3250</v>
      </c>
    </row>
    <row r="31" spans="1:18" s="279" customFormat="1" ht="52.5" customHeight="1">
      <c r="A31" s="285"/>
      <c r="B31" s="285"/>
      <c r="C31" s="679" t="s">
        <v>560</v>
      </c>
      <c r="D31" s="285">
        <v>3110</v>
      </c>
      <c r="E31" s="285">
        <v>1014</v>
      </c>
      <c r="F31" s="285" t="s">
        <v>430</v>
      </c>
      <c r="G31" s="285" t="s">
        <v>43</v>
      </c>
      <c r="H31" s="295" t="s">
        <v>49</v>
      </c>
      <c r="I31" s="287">
        <v>16650</v>
      </c>
      <c r="J31" s="296">
        <v>16650</v>
      </c>
    </row>
    <row r="32" spans="1:18" s="279" customFormat="1" ht="52.5" customHeight="1">
      <c r="A32" s="285"/>
      <c r="B32" s="285"/>
      <c r="C32" s="679" t="s">
        <v>560</v>
      </c>
      <c r="D32" s="285">
        <v>3110</v>
      </c>
      <c r="E32" s="285">
        <v>1014</v>
      </c>
      <c r="F32" s="285" t="s">
        <v>431</v>
      </c>
      <c r="G32" s="285" t="s">
        <v>43</v>
      </c>
      <c r="H32" s="295" t="s">
        <v>49</v>
      </c>
      <c r="I32" s="287">
        <v>8181</v>
      </c>
      <c r="J32" s="296">
        <v>8181</v>
      </c>
    </row>
    <row r="33" spans="1:18" s="279" customFormat="1" ht="52.5" customHeight="1">
      <c r="A33" s="285"/>
      <c r="B33" s="285"/>
      <c r="C33" s="679" t="s">
        <v>560</v>
      </c>
      <c r="D33" s="285">
        <v>3110</v>
      </c>
      <c r="E33" s="285">
        <v>1014</v>
      </c>
      <c r="F33" s="285" t="s">
        <v>564</v>
      </c>
      <c r="G33" s="285" t="s">
        <v>43</v>
      </c>
      <c r="H33" s="295" t="s">
        <v>49</v>
      </c>
      <c r="I33" s="287">
        <v>19800</v>
      </c>
      <c r="J33" s="296">
        <v>19800</v>
      </c>
    </row>
    <row r="34" spans="1:18" s="279" customFormat="1" ht="52.5" customHeight="1">
      <c r="A34" s="285"/>
      <c r="B34" s="285"/>
      <c r="C34" s="679" t="s">
        <v>560</v>
      </c>
      <c r="D34" s="285">
        <v>3110</v>
      </c>
      <c r="E34" s="285">
        <v>1014</v>
      </c>
      <c r="F34" s="285" t="s">
        <v>434</v>
      </c>
      <c r="G34" s="285" t="s">
        <v>43</v>
      </c>
      <c r="H34" s="295" t="s">
        <v>49</v>
      </c>
      <c r="I34" s="287">
        <v>14040</v>
      </c>
      <c r="J34" s="296">
        <v>14040</v>
      </c>
    </row>
    <row r="35" spans="1:18" s="279" customFormat="1" ht="52.5" customHeight="1">
      <c r="A35" s="285"/>
      <c r="B35" s="285"/>
      <c r="C35" s="679" t="s">
        <v>560</v>
      </c>
      <c r="D35" s="285">
        <v>3110</v>
      </c>
      <c r="E35" s="285">
        <v>1014</v>
      </c>
      <c r="F35" s="285" t="s">
        <v>433</v>
      </c>
      <c r="G35" s="285" t="s">
        <v>43</v>
      </c>
      <c r="H35" s="295" t="s">
        <v>49</v>
      </c>
      <c r="I35" s="287">
        <v>7110</v>
      </c>
      <c r="J35" s="296">
        <v>7110</v>
      </c>
    </row>
    <row r="36" spans="1:18" s="305" customFormat="1" ht="21" customHeight="1">
      <c r="A36" s="300"/>
      <c r="B36" s="300"/>
      <c r="C36" s="300"/>
      <c r="D36" s="300"/>
      <c r="E36" s="300"/>
      <c r="F36" s="301"/>
      <c r="G36" s="300"/>
      <c r="H36" s="302"/>
      <c r="I36" s="303"/>
      <c r="J36" s="304">
        <f>SUM(J23:J35)</f>
        <v>87904</v>
      </c>
      <c r="K36" s="279"/>
      <c r="L36" s="279"/>
      <c r="M36" s="279"/>
      <c r="N36" s="279"/>
      <c r="O36" s="279"/>
      <c r="P36" s="279"/>
      <c r="Q36" s="279"/>
      <c r="R36" s="279"/>
    </row>
    <row r="37" spans="1:18" s="279" customFormat="1" ht="21" customHeight="1">
      <c r="A37" s="285">
        <v>7</v>
      </c>
      <c r="B37" s="285" t="s">
        <v>565</v>
      </c>
      <c r="C37" s="285" t="s">
        <v>5</v>
      </c>
      <c r="D37" s="285">
        <v>2210</v>
      </c>
      <c r="E37" s="285">
        <v>1113</v>
      </c>
      <c r="F37" s="285" t="s">
        <v>566</v>
      </c>
      <c r="G37" s="285" t="s">
        <v>43</v>
      </c>
      <c r="H37" s="295" t="s">
        <v>49</v>
      </c>
      <c r="I37" s="287">
        <v>300</v>
      </c>
      <c r="J37" s="296">
        <v>300</v>
      </c>
      <c r="K37" s="319"/>
    </row>
    <row r="38" spans="1:18" s="279" customFormat="1" ht="21" customHeight="1">
      <c r="A38" s="285"/>
      <c r="B38" s="285"/>
      <c r="C38" s="285"/>
      <c r="D38" s="285">
        <v>2210</v>
      </c>
      <c r="E38" s="285">
        <v>1113</v>
      </c>
      <c r="F38" s="285" t="s">
        <v>567</v>
      </c>
      <c r="G38" s="285" t="s">
        <v>43</v>
      </c>
      <c r="H38" s="295" t="s">
        <v>49</v>
      </c>
      <c r="I38" s="287">
        <v>170</v>
      </c>
      <c r="J38" s="296">
        <v>170</v>
      </c>
      <c r="K38" s="319"/>
    </row>
    <row r="39" spans="1:18" s="279" customFormat="1" ht="21" customHeight="1">
      <c r="A39" s="285"/>
      <c r="B39" s="285"/>
      <c r="C39" s="285"/>
      <c r="D39" s="285">
        <v>2210</v>
      </c>
      <c r="E39" s="285" t="s">
        <v>15</v>
      </c>
      <c r="F39" s="285" t="s">
        <v>220</v>
      </c>
      <c r="G39" s="285"/>
      <c r="H39" s="295"/>
      <c r="I39" s="287"/>
      <c r="J39" s="296">
        <v>16083</v>
      </c>
      <c r="K39" s="319"/>
    </row>
    <row r="40" spans="1:18" s="309" customFormat="1" ht="21" customHeight="1">
      <c r="A40" s="289"/>
      <c r="B40" s="289"/>
      <c r="C40" s="289"/>
      <c r="D40" s="289"/>
      <c r="E40" s="289"/>
      <c r="F40" s="289" t="s">
        <v>6</v>
      </c>
      <c r="G40" s="289"/>
      <c r="H40" s="308"/>
      <c r="I40" s="292"/>
      <c r="J40" s="293">
        <f>SUM(J37:J39)</f>
        <v>16553</v>
      </c>
    </row>
    <row r="41" spans="1:18" s="279" customFormat="1" ht="44.25" customHeight="1">
      <c r="A41" s="285">
        <v>8</v>
      </c>
      <c r="B41" s="285" t="s">
        <v>346</v>
      </c>
      <c r="C41" s="679" t="s">
        <v>560</v>
      </c>
      <c r="D41" s="285">
        <v>2210</v>
      </c>
      <c r="E41" s="285">
        <v>1113</v>
      </c>
      <c r="F41" s="285" t="s">
        <v>423</v>
      </c>
      <c r="G41" s="285" t="s">
        <v>43</v>
      </c>
      <c r="H41" s="286">
        <v>1</v>
      </c>
      <c r="I41" s="287">
        <v>1500</v>
      </c>
      <c r="J41" s="296">
        <v>1500</v>
      </c>
    </row>
    <row r="42" spans="1:18" s="279" customFormat="1" ht="44.25" customHeight="1">
      <c r="A42" s="285"/>
      <c r="B42" s="285"/>
      <c r="C42" s="679" t="s">
        <v>560</v>
      </c>
      <c r="D42" s="285">
        <v>2210</v>
      </c>
      <c r="E42" s="285">
        <v>1113</v>
      </c>
      <c r="F42" s="285" t="s">
        <v>561</v>
      </c>
      <c r="G42" s="285" t="s">
        <v>43</v>
      </c>
      <c r="H42" s="295" t="s">
        <v>49</v>
      </c>
      <c r="I42" s="287">
        <v>4320</v>
      </c>
      <c r="J42" s="296">
        <v>4320</v>
      </c>
    </row>
    <row r="43" spans="1:18" s="279" customFormat="1" ht="44.25" customHeight="1">
      <c r="A43" s="285"/>
      <c r="B43" s="285"/>
      <c r="C43" s="679" t="s">
        <v>560</v>
      </c>
      <c r="D43" s="285">
        <v>2210</v>
      </c>
      <c r="E43" s="285">
        <v>1113</v>
      </c>
      <c r="F43" s="285" t="s">
        <v>562</v>
      </c>
      <c r="G43" s="285" t="s">
        <v>43</v>
      </c>
      <c r="H43" s="295" t="s">
        <v>49</v>
      </c>
      <c r="I43" s="287">
        <v>2673</v>
      </c>
      <c r="J43" s="296">
        <v>2673</v>
      </c>
    </row>
    <row r="44" spans="1:18" s="279" customFormat="1" ht="44.25" customHeight="1">
      <c r="A44" s="285"/>
      <c r="B44" s="285"/>
      <c r="C44" s="679" t="s">
        <v>560</v>
      </c>
      <c r="D44" s="285">
        <v>2210</v>
      </c>
      <c r="E44" s="285">
        <v>1113</v>
      </c>
      <c r="F44" s="285" t="s">
        <v>426</v>
      </c>
      <c r="G44" s="285" t="s">
        <v>43</v>
      </c>
      <c r="H44" s="295" t="s">
        <v>49</v>
      </c>
      <c r="I44" s="287">
        <v>2340</v>
      </c>
      <c r="J44" s="296">
        <v>2340</v>
      </c>
    </row>
    <row r="45" spans="1:18" s="279" customFormat="1" ht="44.25" customHeight="1">
      <c r="A45" s="285"/>
      <c r="B45" s="285"/>
      <c r="C45" s="679" t="s">
        <v>560</v>
      </c>
      <c r="D45" s="285">
        <v>2210</v>
      </c>
      <c r="E45" s="285">
        <v>1113</v>
      </c>
      <c r="F45" s="285" t="s">
        <v>568</v>
      </c>
      <c r="G45" s="285" t="s">
        <v>43</v>
      </c>
      <c r="H45" s="295"/>
      <c r="I45" s="287"/>
      <c r="J45" s="296">
        <v>2040</v>
      </c>
    </row>
    <row r="46" spans="1:18" s="279" customFormat="1" ht="44.25" customHeight="1">
      <c r="A46" s="285"/>
      <c r="B46" s="285"/>
      <c r="C46" s="679" t="s">
        <v>560</v>
      </c>
      <c r="D46" s="285">
        <v>2210</v>
      </c>
      <c r="E46" s="285">
        <v>1113</v>
      </c>
      <c r="F46" s="285" t="s">
        <v>428</v>
      </c>
      <c r="G46" s="285" t="s">
        <v>43</v>
      </c>
      <c r="H46" s="295" t="s">
        <v>49</v>
      </c>
      <c r="I46" s="287">
        <v>2550</v>
      </c>
      <c r="J46" s="296">
        <v>2550</v>
      </c>
    </row>
    <row r="47" spans="1:18" s="279" customFormat="1" ht="44.25" customHeight="1">
      <c r="A47" s="285"/>
      <c r="B47" s="285"/>
      <c r="C47" s="679" t="s">
        <v>560</v>
      </c>
      <c r="D47" s="285">
        <v>2210</v>
      </c>
      <c r="E47" s="285">
        <v>1113</v>
      </c>
      <c r="F47" s="285" t="s">
        <v>429</v>
      </c>
      <c r="G47" s="285" t="s">
        <v>43</v>
      </c>
      <c r="H47" s="295" t="s">
        <v>49</v>
      </c>
      <c r="I47" s="287">
        <v>1090</v>
      </c>
      <c r="J47" s="296">
        <v>1090</v>
      </c>
    </row>
    <row r="48" spans="1:18" s="279" customFormat="1" ht="44.25" customHeight="1">
      <c r="A48" s="285"/>
      <c r="B48" s="285"/>
      <c r="C48" s="679" t="s">
        <v>560</v>
      </c>
      <c r="D48" s="285">
        <v>3110</v>
      </c>
      <c r="E48" s="285">
        <v>1014</v>
      </c>
      <c r="F48" s="285" t="s">
        <v>430</v>
      </c>
      <c r="G48" s="285" t="s">
        <v>43</v>
      </c>
      <c r="H48" s="295" t="s">
        <v>49</v>
      </c>
      <c r="I48" s="287">
        <v>16650</v>
      </c>
      <c r="J48" s="296">
        <v>16650</v>
      </c>
    </row>
    <row r="49" spans="1:18" s="279" customFormat="1" ht="44.25" customHeight="1">
      <c r="A49" s="285"/>
      <c r="B49" s="285"/>
      <c r="C49" s="679" t="s">
        <v>560</v>
      </c>
      <c r="D49" s="285">
        <v>3110</v>
      </c>
      <c r="E49" s="285">
        <v>1014</v>
      </c>
      <c r="F49" s="285" t="s">
        <v>431</v>
      </c>
      <c r="G49" s="285" t="s">
        <v>43</v>
      </c>
      <c r="H49" s="295" t="s">
        <v>49</v>
      </c>
      <c r="I49" s="287">
        <v>8181</v>
      </c>
      <c r="J49" s="296">
        <v>8181</v>
      </c>
    </row>
    <row r="50" spans="1:18" s="279" customFormat="1" ht="44.25" customHeight="1">
      <c r="A50" s="285"/>
      <c r="B50" s="285"/>
      <c r="C50" s="679" t="s">
        <v>560</v>
      </c>
      <c r="D50" s="285">
        <v>3110</v>
      </c>
      <c r="E50" s="285">
        <v>1014</v>
      </c>
      <c r="F50" s="285" t="s">
        <v>564</v>
      </c>
      <c r="G50" s="285" t="s">
        <v>43</v>
      </c>
      <c r="H50" s="295" t="s">
        <v>49</v>
      </c>
      <c r="I50" s="287">
        <v>19800</v>
      </c>
      <c r="J50" s="296">
        <v>19800</v>
      </c>
    </row>
    <row r="51" spans="1:18" s="279" customFormat="1" ht="44.25" customHeight="1">
      <c r="A51" s="285"/>
      <c r="B51" s="285"/>
      <c r="C51" s="679" t="s">
        <v>560</v>
      </c>
      <c r="D51" s="285">
        <v>3110</v>
      </c>
      <c r="E51" s="285">
        <v>1014</v>
      </c>
      <c r="F51" s="285" t="s">
        <v>434</v>
      </c>
      <c r="G51" s="285" t="s">
        <v>43</v>
      </c>
      <c r="H51" s="295" t="s">
        <v>49</v>
      </c>
      <c r="I51" s="287">
        <v>14040</v>
      </c>
      <c r="J51" s="296">
        <v>14040</v>
      </c>
    </row>
    <row r="52" spans="1:18" s="279" customFormat="1" ht="44.25" customHeight="1">
      <c r="A52" s="285"/>
      <c r="B52" s="285"/>
      <c r="C52" s="679" t="s">
        <v>560</v>
      </c>
      <c r="D52" s="285">
        <v>3110</v>
      </c>
      <c r="E52" s="285">
        <v>1014</v>
      </c>
      <c r="F52" s="285" t="s">
        <v>433</v>
      </c>
      <c r="G52" s="285" t="s">
        <v>43</v>
      </c>
      <c r="H52" s="295" t="s">
        <v>49</v>
      </c>
      <c r="I52" s="287">
        <v>7110</v>
      </c>
      <c r="J52" s="296">
        <v>7110</v>
      </c>
    </row>
    <row r="53" spans="1:18" s="305" customFormat="1" ht="21" customHeight="1">
      <c r="A53" s="300"/>
      <c r="B53" s="300"/>
      <c r="C53" s="300"/>
      <c r="D53" s="300"/>
      <c r="E53" s="300"/>
      <c r="F53" s="301" t="s">
        <v>6</v>
      </c>
      <c r="G53" s="300"/>
      <c r="H53" s="302"/>
      <c r="I53" s="303"/>
      <c r="J53" s="304">
        <f>SUM(J41:J52)</f>
        <v>82294</v>
      </c>
      <c r="K53" s="279"/>
      <c r="L53" s="279"/>
      <c r="M53" s="279"/>
      <c r="N53" s="279"/>
      <c r="O53" s="279"/>
      <c r="P53" s="279"/>
      <c r="Q53" s="279"/>
      <c r="R53" s="279"/>
    </row>
    <row r="54" spans="1:18" s="279" customFormat="1" ht="21" customHeight="1">
      <c r="A54" s="285">
        <v>9</v>
      </c>
      <c r="B54" s="285" t="s">
        <v>540</v>
      </c>
      <c r="C54" s="285" t="s">
        <v>5</v>
      </c>
      <c r="D54" s="285">
        <v>2210</v>
      </c>
      <c r="E54" s="285">
        <v>1113</v>
      </c>
      <c r="F54" s="285" t="s">
        <v>569</v>
      </c>
      <c r="G54" s="285" t="s">
        <v>43</v>
      </c>
      <c r="H54" s="286">
        <v>1</v>
      </c>
      <c r="I54" s="287">
        <v>1500</v>
      </c>
      <c r="J54" s="296">
        <v>1500</v>
      </c>
    </row>
    <row r="55" spans="1:18" s="279" customFormat="1" ht="21" customHeight="1">
      <c r="A55" s="285"/>
      <c r="B55" s="285"/>
      <c r="C55" s="285"/>
      <c r="D55" s="285">
        <v>2210</v>
      </c>
      <c r="E55" s="285">
        <v>1113</v>
      </c>
      <c r="F55" s="285" t="s">
        <v>570</v>
      </c>
      <c r="G55" s="285" t="s">
        <v>43</v>
      </c>
      <c r="H55" s="286">
        <v>1</v>
      </c>
      <c r="I55" s="287">
        <v>3000</v>
      </c>
      <c r="J55" s="296">
        <v>3000</v>
      </c>
    </row>
    <row r="56" spans="1:18" s="279" customFormat="1" ht="21" customHeight="1">
      <c r="A56" s="285"/>
      <c r="B56" s="285"/>
      <c r="C56" s="285"/>
      <c r="D56" s="285">
        <v>2220</v>
      </c>
      <c r="E56" s="285">
        <v>1512</v>
      </c>
      <c r="F56" s="285" t="s">
        <v>192</v>
      </c>
      <c r="G56" s="285" t="s">
        <v>13</v>
      </c>
      <c r="H56" s="286">
        <v>3</v>
      </c>
      <c r="I56" s="287">
        <v>350</v>
      </c>
      <c r="J56" s="296">
        <v>1050</v>
      </c>
    </row>
    <row r="57" spans="1:18" s="305" customFormat="1" ht="21" customHeight="1">
      <c r="A57" s="300"/>
      <c r="B57" s="300"/>
      <c r="C57" s="300"/>
      <c r="D57" s="300"/>
      <c r="E57" s="300"/>
      <c r="F57" s="301" t="s">
        <v>6</v>
      </c>
      <c r="G57" s="300"/>
      <c r="H57" s="302"/>
      <c r="I57" s="303"/>
      <c r="J57" s="304">
        <f>SUM(J54:J56)</f>
        <v>5550</v>
      </c>
      <c r="K57" s="279"/>
      <c r="L57" s="279"/>
      <c r="M57" s="279"/>
      <c r="N57" s="279"/>
      <c r="O57" s="279"/>
      <c r="P57" s="279"/>
      <c r="Q57" s="279"/>
      <c r="R57" s="279"/>
    </row>
    <row r="58" spans="1:18" s="279" customFormat="1" ht="21" customHeight="1">
      <c r="A58" s="285">
        <v>10</v>
      </c>
      <c r="B58" s="285" t="s">
        <v>356</v>
      </c>
      <c r="C58" s="285" t="s">
        <v>136</v>
      </c>
      <c r="D58" s="285">
        <v>2210</v>
      </c>
      <c r="E58" s="285">
        <v>1113</v>
      </c>
      <c r="F58" s="285" t="s">
        <v>571</v>
      </c>
      <c r="G58" s="285" t="s">
        <v>43</v>
      </c>
      <c r="H58" s="295" t="s">
        <v>57</v>
      </c>
      <c r="I58" s="287">
        <v>50</v>
      </c>
      <c r="J58" s="296">
        <v>500</v>
      </c>
    </row>
    <row r="59" spans="1:18" s="279" customFormat="1" ht="21" customHeight="1">
      <c r="A59" s="285"/>
      <c r="B59" s="285"/>
      <c r="C59" s="285"/>
      <c r="D59" s="285">
        <v>2210</v>
      </c>
      <c r="E59" s="285" t="s">
        <v>15</v>
      </c>
      <c r="F59" s="285" t="s">
        <v>572</v>
      </c>
      <c r="G59" s="285" t="s">
        <v>496</v>
      </c>
      <c r="H59" s="286"/>
      <c r="I59" s="287"/>
      <c r="J59" s="296">
        <v>1202</v>
      </c>
    </row>
    <row r="60" spans="1:18" s="305" customFormat="1" ht="21" customHeight="1">
      <c r="A60" s="300"/>
      <c r="B60" s="300"/>
      <c r="C60" s="300"/>
      <c r="D60" s="300"/>
      <c r="E60" s="300"/>
      <c r="F60" s="301" t="s">
        <v>6</v>
      </c>
      <c r="G60" s="300"/>
      <c r="H60" s="302"/>
      <c r="I60" s="303"/>
      <c r="J60" s="304">
        <f>SUM(J58:J59)</f>
        <v>1702</v>
      </c>
    </row>
    <row r="61" spans="1:18" s="279" customFormat="1" ht="21" customHeight="1">
      <c r="A61" s="285">
        <v>11</v>
      </c>
      <c r="B61" s="285" t="s">
        <v>287</v>
      </c>
      <c r="C61" s="285" t="s">
        <v>5</v>
      </c>
      <c r="D61" s="285">
        <v>2210</v>
      </c>
      <c r="E61" s="285" t="s">
        <v>15</v>
      </c>
      <c r="F61" s="355" t="s">
        <v>286</v>
      </c>
      <c r="G61" s="285" t="s">
        <v>573</v>
      </c>
      <c r="H61" s="295" t="s">
        <v>574</v>
      </c>
      <c r="I61" s="287"/>
      <c r="J61" s="296">
        <v>566</v>
      </c>
    </row>
    <row r="62" spans="1:18" s="305" customFormat="1" ht="21" customHeight="1">
      <c r="A62" s="300"/>
      <c r="B62" s="300"/>
      <c r="C62" s="300"/>
      <c r="D62" s="300"/>
      <c r="E62" s="300"/>
      <c r="F62" s="301" t="s">
        <v>6</v>
      </c>
      <c r="G62" s="300"/>
      <c r="H62" s="302"/>
      <c r="I62" s="303"/>
      <c r="J62" s="304">
        <f>SUM(J61)</f>
        <v>566</v>
      </c>
    </row>
    <row r="63" spans="1:18" s="279" customFormat="1" ht="21" customHeight="1">
      <c r="A63" s="285">
        <v>12</v>
      </c>
      <c r="B63" s="285" t="s">
        <v>362</v>
      </c>
      <c r="C63" s="285" t="s">
        <v>5</v>
      </c>
      <c r="D63" s="285">
        <v>2210</v>
      </c>
      <c r="E63" s="285">
        <v>1113</v>
      </c>
      <c r="F63" s="355" t="s">
        <v>575</v>
      </c>
      <c r="G63" s="285" t="s">
        <v>43</v>
      </c>
      <c r="H63" s="295" t="s">
        <v>111</v>
      </c>
      <c r="I63" s="287"/>
      <c r="J63" s="296">
        <v>2400</v>
      </c>
    </row>
    <row r="64" spans="1:18" s="279" customFormat="1" ht="66" customHeight="1">
      <c r="A64" s="285"/>
      <c r="B64" s="679"/>
      <c r="C64" s="679" t="s">
        <v>576</v>
      </c>
      <c r="D64" s="679">
        <v>3110</v>
      </c>
      <c r="E64" s="679">
        <v>1018</v>
      </c>
      <c r="F64" s="355" t="s">
        <v>575</v>
      </c>
      <c r="G64" s="285" t="s">
        <v>43</v>
      </c>
      <c r="H64" s="295" t="s">
        <v>49</v>
      </c>
      <c r="I64" s="287">
        <v>41305.58</v>
      </c>
      <c r="J64" s="296">
        <v>41305.58</v>
      </c>
    </row>
    <row r="65" spans="1:19" s="279" customFormat="1" ht="57" customHeight="1">
      <c r="A65" s="285"/>
      <c r="B65" s="285"/>
      <c r="C65" s="679" t="s">
        <v>577</v>
      </c>
      <c r="D65" s="285">
        <v>3110</v>
      </c>
      <c r="E65" s="285">
        <v>1014</v>
      </c>
      <c r="F65" s="355" t="s">
        <v>578</v>
      </c>
      <c r="G65" s="285" t="s">
        <v>43</v>
      </c>
      <c r="H65" s="295" t="s">
        <v>49</v>
      </c>
      <c r="I65" s="287">
        <v>7459</v>
      </c>
      <c r="J65" s="296">
        <v>7459</v>
      </c>
    </row>
    <row r="66" spans="1:19" s="305" customFormat="1" ht="21" customHeight="1">
      <c r="A66" s="300"/>
      <c r="B66" s="300"/>
      <c r="C66" s="300"/>
      <c r="D66" s="300"/>
      <c r="E66" s="300"/>
      <c r="F66" s="301" t="s">
        <v>6</v>
      </c>
      <c r="G66" s="300"/>
      <c r="H66" s="302"/>
      <c r="I66" s="303"/>
      <c r="J66" s="304">
        <f>SUM(J63:J65)</f>
        <v>51164.58</v>
      </c>
    </row>
    <row r="67" spans="1:19" s="279" customFormat="1" ht="21" customHeight="1">
      <c r="A67" s="285">
        <v>13</v>
      </c>
      <c r="B67" s="285" t="s">
        <v>158</v>
      </c>
      <c r="C67" s="285" t="s">
        <v>5</v>
      </c>
      <c r="D67" s="285">
        <v>2210</v>
      </c>
      <c r="E67" s="285" t="s">
        <v>15</v>
      </c>
      <c r="F67" s="355" t="s">
        <v>579</v>
      </c>
      <c r="G67" s="285" t="s">
        <v>43</v>
      </c>
      <c r="H67" s="295" t="s">
        <v>57</v>
      </c>
      <c r="I67" s="287">
        <v>15</v>
      </c>
      <c r="J67" s="296">
        <v>150</v>
      </c>
    </row>
    <row r="68" spans="1:19" s="279" customFormat="1" ht="21" customHeight="1">
      <c r="A68" s="285"/>
      <c r="B68" s="285"/>
      <c r="C68" s="285"/>
      <c r="D68" s="285">
        <v>2210</v>
      </c>
      <c r="E68" s="285">
        <v>1518</v>
      </c>
      <c r="F68" s="355" t="s">
        <v>234</v>
      </c>
      <c r="G68" s="285" t="s">
        <v>13</v>
      </c>
      <c r="H68" s="295" t="s">
        <v>111</v>
      </c>
      <c r="I68" s="287">
        <v>8.65</v>
      </c>
      <c r="J68" s="296">
        <v>17.3</v>
      </c>
    </row>
    <row r="69" spans="1:19" s="305" customFormat="1" ht="21" customHeight="1">
      <c r="A69" s="300"/>
      <c r="B69" s="300"/>
      <c r="C69" s="300"/>
      <c r="D69" s="300"/>
      <c r="E69" s="300"/>
      <c r="F69" s="301" t="s">
        <v>6</v>
      </c>
      <c r="G69" s="300"/>
      <c r="H69" s="302"/>
      <c r="I69" s="303"/>
      <c r="J69" s="304">
        <f>SUM(J67:J68)</f>
        <v>167.3</v>
      </c>
    </row>
    <row r="70" spans="1:19" s="312" customFormat="1" ht="21" customHeight="1">
      <c r="A70" s="713" t="s">
        <v>580</v>
      </c>
      <c r="B70" s="713"/>
      <c r="C70" s="713"/>
      <c r="D70" s="713"/>
      <c r="E70" s="713"/>
      <c r="F70" s="713"/>
      <c r="G70" s="713"/>
      <c r="H70" s="713"/>
      <c r="I70" s="713"/>
      <c r="J70" s="310">
        <f>J36+J40+J53+J57+J60+J62+J66+J69</f>
        <v>245900.88</v>
      </c>
      <c r="K70" s="311"/>
    </row>
    <row r="71" spans="1:19" s="340" customFormat="1" ht="21.75" customHeight="1" thickBot="1">
      <c r="A71" s="322"/>
      <c r="B71" s="714" t="s">
        <v>581</v>
      </c>
      <c r="C71" s="715"/>
      <c r="D71" s="715"/>
      <c r="E71" s="715"/>
      <c r="F71" s="716"/>
      <c r="G71" s="336"/>
      <c r="H71" s="337"/>
      <c r="I71" s="338"/>
      <c r="J71" s="339">
        <f>J70+J22</f>
        <v>252037.38</v>
      </c>
      <c r="K71" s="328"/>
      <c r="L71" s="328"/>
      <c r="M71" s="328"/>
      <c r="N71" s="328"/>
      <c r="O71" s="328"/>
      <c r="P71" s="328"/>
      <c r="Q71" s="328"/>
      <c r="R71" s="328"/>
      <c r="S71" s="328"/>
    </row>
    <row r="72" spans="1:19" s="328" customFormat="1" ht="21.75" customHeight="1">
      <c r="A72" s="341"/>
      <c r="B72" s="342"/>
      <c r="C72" s="342"/>
      <c r="D72" s="342"/>
      <c r="E72" s="342"/>
      <c r="F72" s="342"/>
      <c r="G72" s="343"/>
      <c r="H72" s="342"/>
      <c r="I72" s="343"/>
      <c r="J72" s="344"/>
    </row>
    <row r="73" spans="1:19" s="328" customFormat="1" ht="21.75" customHeight="1">
      <c r="A73" s="341"/>
      <c r="B73" s="711" t="s">
        <v>191</v>
      </c>
      <c r="C73" s="711"/>
      <c r="D73" s="711"/>
      <c r="E73" s="711"/>
      <c r="F73" s="342"/>
      <c r="G73" s="343"/>
      <c r="H73" s="342"/>
      <c r="I73" s="343"/>
      <c r="J73" s="344"/>
    </row>
    <row r="74" spans="1:19" s="340" customFormat="1">
      <c r="A74" s="278"/>
      <c r="B74" s="711"/>
      <c r="C74" s="711"/>
      <c r="D74" s="711"/>
      <c r="E74" s="345"/>
      <c r="F74" s="346"/>
      <c r="G74" s="345"/>
      <c r="H74" s="347"/>
      <c r="I74" s="345"/>
      <c r="J74" s="348"/>
      <c r="K74" s="328"/>
      <c r="L74" s="328"/>
      <c r="M74" s="328"/>
      <c r="N74" s="328"/>
      <c r="O74" s="328"/>
      <c r="P74" s="328"/>
      <c r="Q74" s="328"/>
      <c r="R74" s="328"/>
      <c r="S74" s="328"/>
    </row>
    <row r="75" spans="1:19" s="340" customFormat="1">
      <c r="A75" s="278"/>
      <c r="B75" s="711"/>
      <c r="C75" s="711"/>
      <c r="D75" s="711"/>
      <c r="E75" s="711"/>
      <c r="F75" s="349"/>
      <c r="G75" s="345"/>
      <c r="H75" s="347"/>
      <c r="I75" s="345"/>
      <c r="J75" s="348"/>
      <c r="K75" s="328"/>
      <c r="L75" s="328"/>
      <c r="M75" s="328"/>
      <c r="N75" s="328"/>
      <c r="O75" s="328"/>
      <c r="P75" s="328"/>
      <c r="Q75" s="328"/>
      <c r="R75" s="328"/>
      <c r="S75" s="328"/>
    </row>
    <row r="76" spans="1:19">
      <c r="A76" s="345"/>
      <c r="B76" s="347"/>
      <c r="C76" s="347"/>
      <c r="D76" s="347"/>
      <c r="E76" s="347"/>
      <c r="F76" s="347"/>
      <c r="G76" s="347"/>
      <c r="H76" s="347"/>
      <c r="I76" s="350"/>
      <c r="J76" s="347"/>
      <c r="K76" s="279"/>
      <c r="L76" s="279"/>
      <c r="M76" s="279"/>
      <c r="N76" s="279"/>
      <c r="O76" s="279"/>
      <c r="P76" s="279"/>
      <c r="Q76" s="279"/>
      <c r="R76" s="279"/>
      <c r="S76" s="279"/>
    </row>
    <row r="77" spans="1:19">
      <c r="A77" s="345"/>
      <c r="B77" s="347"/>
      <c r="C77" s="347"/>
      <c r="D77" s="347"/>
      <c r="E77" s="347"/>
      <c r="F77" s="347"/>
      <c r="G77" s="347"/>
      <c r="H77" s="347"/>
      <c r="I77" s="350"/>
      <c r="J77" s="347"/>
      <c r="K77" s="279"/>
      <c r="L77" s="279"/>
      <c r="M77" s="279"/>
      <c r="N77" s="279"/>
      <c r="O77" s="279"/>
      <c r="P77" s="279"/>
      <c r="Q77" s="279"/>
      <c r="R77" s="279"/>
      <c r="S77" s="279"/>
    </row>
    <row r="78" spans="1:19">
      <c r="A78" s="345"/>
      <c r="B78" s="347"/>
      <c r="C78" s="347"/>
      <c r="D78" s="347"/>
      <c r="E78" s="347"/>
      <c r="F78" s="347"/>
      <c r="G78" s="347"/>
      <c r="H78" s="347"/>
      <c r="I78" s="350"/>
      <c r="J78" s="347"/>
    </row>
    <row r="79" spans="1:19">
      <c r="A79" s="345"/>
      <c r="B79" s="345"/>
      <c r="C79" s="345"/>
      <c r="D79" s="345"/>
      <c r="E79" s="345"/>
      <c r="F79" s="347"/>
      <c r="G79" s="345"/>
      <c r="H79" s="347"/>
      <c r="I79" s="351"/>
      <c r="J79" s="345"/>
    </row>
    <row r="80" spans="1:19">
      <c r="A80" s="345"/>
      <c r="B80" s="345"/>
      <c r="C80" s="345"/>
      <c r="D80" s="345"/>
      <c r="E80" s="345"/>
      <c r="F80" s="347"/>
      <c r="G80" s="345"/>
      <c r="H80" s="347"/>
      <c r="I80" s="351"/>
      <c r="J80" s="345"/>
    </row>
    <row r="81" spans="1:10">
      <c r="A81" s="345"/>
      <c r="B81" s="345"/>
      <c r="C81" s="345"/>
      <c r="D81" s="345"/>
      <c r="E81" s="345"/>
      <c r="F81" s="347"/>
      <c r="G81" s="345"/>
      <c r="H81" s="347"/>
      <c r="I81" s="351"/>
      <c r="J81" s="345"/>
    </row>
  </sheetData>
  <mergeCells count="7">
    <mergeCell ref="B74:D74"/>
    <mergeCell ref="B75:E75"/>
    <mergeCell ref="A1:J1"/>
    <mergeCell ref="A70:I70"/>
    <mergeCell ref="B71:F71"/>
    <mergeCell ref="B73:E73"/>
    <mergeCell ref="A22:H22"/>
  </mergeCells>
  <phoneticPr fontId="21" type="noConversion"/>
  <pageMargins left="0.75" right="0.75" top="1" bottom="1" header="0.5" footer="0.5"/>
  <pageSetup paperSize="9" scale="40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 enableFormatConditionsCalculation="0">
    <tabColor indexed="14"/>
  </sheetPr>
  <dimension ref="A1:S104"/>
  <sheetViews>
    <sheetView view="pageBreakPreview" topLeftCell="A18" zoomScale="60" zoomScaleNormal="75" workbookViewId="0">
      <selection activeCell="Q9" sqref="Q9"/>
    </sheetView>
  </sheetViews>
  <sheetFormatPr defaultRowHeight="23.25"/>
  <cols>
    <col min="1" max="1" width="8" style="280" customWidth="1"/>
    <col min="2" max="2" width="19.42578125" style="280" customWidth="1"/>
    <col min="3" max="3" width="19.140625" style="280" customWidth="1"/>
    <col min="4" max="4" width="11.5703125" style="280" customWidth="1"/>
    <col min="5" max="5" width="12.85546875" style="280" customWidth="1"/>
    <col min="6" max="6" width="74.42578125" style="278" customWidth="1"/>
    <col min="7" max="7" width="13.140625" style="280" customWidth="1"/>
    <col min="8" max="8" width="12.7109375" style="278" customWidth="1"/>
    <col min="9" max="9" width="16.85546875" style="352" customWidth="1"/>
    <col min="10" max="10" width="21.140625" style="280" customWidth="1"/>
    <col min="11" max="11" width="10.28515625" style="279" customWidth="1"/>
    <col min="12" max="14" width="9.140625" style="279" hidden="1" customWidth="1"/>
    <col min="15" max="15" width="12" style="279" bestFit="1" customWidth="1"/>
    <col min="16" max="19" width="9.140625" style="279"/>
    <col min="20" max="16384" width="9.140625" style="280"/>
  </cols>
  <sheetData>
    <row r="1" spans="1:19" ht="29.25" customHeight="1" thickBot="1">
      <c r="A1" s="712" t="s">
        <v>625</v>
      </c>
      <c r="B1" s="712"/>
      <c r="C1" s="712"/>
      <c r="D1" s="712"/>
      <c r="E1" s="712"/>
      <c r="F1" s="712"/>
      <c r="G1" s="712"/>
      <c r="H1" s="712"/>
      <c r="I1" s="712"/>
      <c r="J1" s="712"/>
    </row>
    <row r="2" spans="1:19" ht="49.5" customHeight="1" thickBot="1">
      <c r="A2" s="281" t="s">
        <v>0</v>
      </c>
      <c r="B2" s="282" t="s">
        <v>1</v>
      </c>
      <c r="C2" s="282" t="s">
        <v>96</v>
      </c>
      <c r="D2" s="282" t="s">
        <v>2</v>
      </c>
      <c r="E2" s="282" t="s">
        <v>95</v>
      </c>
      <c r="F2" s="282" t="s">
        <v>3</v>
      </c>
      <c r="G2" s="283" t="s">
        <v>97</v>
      </c>
      <c r="H2" s="282" t="s">
        <v>4</v>
      </c>
      <c r="I2" s="284" t="s">
        <v>98</v>
      </c>
      <c r="J2" s="282" t="s">
        <v>99</v>
      </c>
    </row>
    <row r="3" spans="1:19" ht="60.75" customHeight="1">
      <c r="A3" s="285">
        <v>1</v>
      </c>
      <c r="B3" s="285" t="s">
        <v>549</v>
      </c>
      <c r="C3" s="285" t="s">
        <v>5</v>
      </c>
      <c r="D3" s="285">
        <v>2210</v>
      </c>
      <c r="E3" s="285" t="s">
        <v>19</v>
      </c>
      <c r="F3" s="679" t="s">
        <v>183</v>
      </c>
      <c r="G3" s="285" t="s">
        <v>43</v>
      </c>
      <c r="H3" s="286">
        <v>12</v>
      </c>
      <c r="I3" s="287"/>
      <c r="J3" s="689">
        <v>170</v>
      </c>
    </row>
    <row r="4" spans="1:19" ht="49.5" customHeight="1">
      <c r="A4" s="285"/>
      <c r="B4" s="285"/>
      <c r="C4" s="285"/>
      <c r="D4" s="285">
        <v>2210</v>
      </c>
      <c r="E4" s="285" t="s">
        <v>15</v>
      </c>
      <c r="F4" s="679" t="s">
        <v>583</v>
      </c>
      <c r="G4" s="285" t="s">
        <v>584</v>
      </c>
      <c r="H4" s="286" t="s">
        <v>585</v>
      </c>
      <c r="I4" s="287"/>
      <c r="J4" s="689">
        <v>513.04</v>
      </c>
    </row>
    <row r="5" spans="1:19" ht="29.25" customHeight="1">
      <c r="A5" s="285"/>
      <c r="B5" s="285"/>
      <c r="C5" s="285"/>
      <c r="D5" s="285">
        <v>2220</v>
      </c>
      <c r="E5" s="285">
        <v>1512</v>
      </c>
      <c r="F5" s="285" t="s">
        <v>586</v>
      </c>
      <c r="G5" s="285" t="s">
        <v>133</v>
      </c>
      <c r="H5" s="286" t="s">
        <v>587</v>
      </c>
      <c r="I5" s="287"/>
      <c r="J5" s="689">
        <v>755</v>
      </c>
    </row>
    <row r="6" spans="1:19" ht="21" customHeight="1">
      <c r="A6" s="289"/>
      <c r="B6" s="289"/>
      <c r="C6" s="289"/>
      <c r="D6" s="289"/>
      <c r="E6" s="289"/>
      <c r="F6" s="290" t="s">
        <v>105</v>
      </c>
      <c r="G6" s="289"/>
      <c r="H6" s="291"/>
      <c r="I6" s="292"/>
      <c r="J6" s="688">
        <f>SUM(J3:J5)</f>
        <v>1438.04</v>
      </c>
    </row>
    <row r="7" spans="1:19" ht="21" customHeight="1">
      <c r="A7" s="294">
        <v>2</v>
      </c>
      <c r="B7" s="294" t="s">
        <v>588</v>
      </c>
      <c r="C7" s="294" t="s">
        <v>5</v>
      </c>
      <c r="D7" s="294">
        <v>2220</v>
      </c>
      <c r="E7" s="294">
        <v>1512</v>
      </c>
      <c r="F7" s="285" t="s">
        <v>589</v>
      </c>
      <c r="G7" s="285" t="s">
        <v>13</v>
      </c>
      <c r="H7" s="295" t="s">
        <v>49</v>
      </c>
      <c r="I7" s="287"/>
      <c r="J7" s="689">
        <v>580</v>
      </c>
    </row>
    <row r="8" spans="1:19" s="305" customFormat="1" ht="21" customHeight="1">
      <c r="A8" s="300"/>
      <c r="B8" s="300"/>
      <c r="C8" s="300"/>
      <c r="D8" s="300"/>
      <c r="E8" s="300"/>
      <c r="F8" s="301" t="s">
        <v>6</v>
      </c>
      <c r="G8" s="300"/>
      <c r="H8" s="302"/>
      <c r="I8" s="303"/>
      <c r="J8" s="690">
        <f>SUM(J7:J7)</f>
        <v>580</v>
      </c>
      <c r="K8" s="279"/>
      <c r="L8" s="279"/>
      <c r="M8" s="279"/>
      <c r="N8" s="279"/>
      <c r="O8" s="279"/>
      <c r="P8" s="279"/>
      <c r="Q8" s="279"/>
      <c r="R8" s="279"/>
      <c r="S8" s="279"/>
    </row>
    <row r="9" spans="1:19" s="279" customFormat="1" ht="22.5" customHeight="1">
      <c r="A9" s="285">
        <v>3</v>
      </c>
      <c r="B9" s="285" t="s">
        <v>590</v>
      </c>
      <c r="C9" s="285" t="s">
        <v>5</v>
      </c>
      <c r="D9" s="285">
        <v>2210</v>
      </c>
      <c r="E9" s="285">
        <v>1113</v>
      </c>
      <c r="F9" s="285" t="s">
        <v>591</v>
      </c>
      <c r="G9" s="285" t="s">
        <v>43</v>
      </c>
      <c r="H9" s="295" t="s">
        <v>49</v>
      </c>
      <c r="I9" s="287"/>
      <c r="J9" s="689">
        <v>1471</v>
      </c>
    </row>
    <row r="10" spans="1:19" s="279" customFormat="1" ht="21" customHeight="1">
      <c r="A10" s="285"/>
      <c r="B10" s="285"/>
      <c r="C10" s="285"/>
      <c r="D10" s="285">
        <v>2210</v>
      </c>
      <c r="E10" s="285">
        <v>1113</v>
      </c>
      <c r="F10" s="285" t="s">
        <v>422</v>
      </c>
      <c r="G10" s="285" t="s">
        <v>174</v>
      </c>
      <c r="H10" s="286">
        <v>1</v>
      </c>
      <c r="I10" s="287"/>
      <c r="J10" s="689">
        <v>2669</v>
      </c>
    </row>
    <row r="11" spans="1:19" s="279" customFormat="1" ht="21" customHeight="1">
      <c r="A11" s="285"/>
      <c r="B11" s="285"/>
      <c r="C11" s="285"/>
      <c r="D11" s="285">
        <v>2210</v>
      </c>
      <c r="E11" s="285">
        <v>1113</v>
      </c>
      <c r="F11" s="285" t="s">
        <v>210</v>
      </c>
      <c r="G11" s="285" t="s">
        <v>43</v>
      </c>
      <c r="H11" s="295" t="s">
        <v>111</v>
      </c>
      <c r="I11" s="287"/>
      <c r="J11" s="689">
        <v>880</v>
      </c>
    </row>
    <row r="12" spans="1:19" s="279" customFormat="1" ht="21" customHeight="1">
      <c r="A12" s="285"/>
      <c r="B12" s="285"/>
      <c r="C12" s="285"/>
      <c r="D12" s="285">
        <v>2210</v>
      </c>
      <c r="E12" s="285">
        <v>1113</v>
      </c>
      <c r="F12" s="285" t="s">
        <v>592</v>
      </c>
      <c r="G12" s="285" t="s">
        <v>43</v>
      </c>
      <c r="H12" s="295" t="s">
        <v>321</v>
      </c>
      <c r="I12" s="287"/>
      <c r="J12" s="689">
        <v>301</v>
      </c>
    </row>
    <row r="13" spans="1:19" s="279" customFormat="1" ht="21" customHeight="1">
      <c r="A13" s="285"/>
      <c r="B13" s="285"/>
      <c r="C13" s="285"/>
      <c r="D13" s="285">
        <v>2210</v>
      </c>
      <c r="E13" s="285">
        <v>1114</v>
      </c>
      <c r="F13" s="285" t="s">
        <v>593</v>
      </c>
      <c r="G13" s="285" t="s">
        <v>43</v>
      </c>
      <c r="H13" s="295" t="s">
        <v>594</v>
      </c>
      <c r="I13" s="287"/>
      <c r="J13" s="689">
        <v>2550</v>
      </c>
    </row>
    <row r="14" spans="1:19" s="305" customFormat="1" ht="21" customHeight="1">
      <c r="A14" s="300"/>
      <c r="B14" s="300"/>
      <c r="C14" s="300"/>
      <c r="D14" s="300"/>
      <c r="E14" s="300"/>
      <c r="F14" s="301" t="s">
        <v>6</v>
      </c>
      <c r="G14" s="300"/>
      <c r="H14" s="302"/>
      <c r="I14" s="303"/>
      <c r="J14" s="690">
        <f>SUM(J9:J13)</f>
        <v>7871</v>
      </c>
      <c r="K14" s="279"/>
      <c r="L14" s="279"/>
      <c r="M14" s="279"/>
      <c r="N14" s="279"/>
      <c r="O14" s="279"/>
      <c r="P14" s="279"/>
      <c r="Q14" s="279"/>
      <c r="R14" s="279"/>
      <c r="S14" s="279"/>
    </row>
    <row r="15" spans="1:19" s="279" customFormat="1" ht="21" customHeight="1">
      <c r="A15" s="285">
        <v>4</v>
      </c>
      <c r="B15" s="285" t="s">
        <v>595</v>
      </c>
      <c r="C15" s="285" t="s">
        <v>5</v>
      </c>
      <c r="D15" s="285">
        <v>2210</v>
      </c>
      <c r="E15" s="285" t="s">
        <v>19</v>
      </c>
      <c r="F15" s="285" t="s">
        <v>113</v>
      </c>
      <c r="G15" s="285" t="s">
        <v>43</v>
      </c>
      <c r="H15" s="295" t="s">
        <v>135</v>
      </c>
      <c r="I15" s="287"/>
      <c r="J15" s="689">
        <v>96</v>
      </c>
    </row>
    <row r="16" spans="1:19" s="279" customFormat="1" ht="21" customHeight="1">
      <c r="A16" s="285"/>
      <c r="B16" s="285"/>
      <c r="C16" s="285"/>
      <c r="D16" s="285">
        <v>2210</v>
      </c>
      <c r="E16" s="285" t="s">
        <v>15</v>
      </c>
      <c r="F16" s="285" t="s">
        <v>596</v>
      </c>
      <c r="G16" s="285" t="s">
        <v>43</v>
      </c>
      <c r="H16" s="295" t="s">
        <v>57</v>
      </c>
      <c r="I16" s="287"/>
      <c r="J16" s="689">
        <v>240</v>
      </c>
    </row>
    <row r="17" spans="1:19" s="279" customFormat="1" ht="21" customHeight="1">
      <c r="A17" s="285"/>
      <c r="B17" s="285"/>
      <c r="C17" s="285"/>
      <c r="D17" s="285">
        <v>2220</v>
      </c>
      <c r="E17" s="285">
        <v>1512</v>
      </c>
      <c r="F17" s="285" t="s">
        <v>32</v>
      </c>
      <c r="G17" s="285" t="s">
        <v>13</v>
      </c>
      <c r="H17" s="295" t="s">
        <v>111</v>
      </c>
      <c r="I17" s="287"/>
      <c r="J17" s="689">
        <v>600</v>
      </c>
    </row>
    <row r="18" spans="1:19" s="279" customFormat="1" ht="21" customHeight="1">
      <c r="A18" s="285"/>
      <c r="B18" s="285"/>
      <c r="C18" s="285"/>
      <c r="D18" s="285">
        <v>2210</v>
      </c>
      <c r="E18" s="285">
        <v>1113</v>
      </c>
      <c r="F18" s="285" t="s">
        <v>597</v>
      </c>
      <c r="G18" s="285" t="s">
        <v>43</v>
      </c>
      <c r="H18" s="295" t="s">
        <v>49</v>
      </c>
      <c r="I18" s="287"/>
      <c r="J18" s="689">
        <v>5000</v>
      </c>
    </row>
    <row r="19" spans="1:19" s="279" customFormat="1" ht="21" customHeight="1">
      <c r="A19" s="285"/>
      <c r="B19" s="285"/>
      <c r="C19" s="285"/>
      <c r="D19" s="285">
        <v>2210</v>
      </c>
      <c r="E19" s="285">
        <v>1113</v>
      </c>
      <c r="F19" s="285" t="s">
        <v>598</v>
      </c>
      <c r="G19" s="285" t="s">
        <v>43</v>
      </c>
      <c r="H19" s="295" t="s">
        <v>49</v>
      </c>
      <c r="I19" s="287"/>
      <c r="J19" s="689">
        <v>2200</v>
      </c>
    </row>
    <row r="20" spans="1:19" s="279" customFormat="1" ht="21" customHeight="1">
      <c r="A20" s="285"/>
      <c r="B20" s="285"/>
      <c r="C20" s="285"/>
      <c r="D20" s="285">
        <v>2210</v>
      </c>
      <c r="E20" s="285">
        <v>1113</v>
      </c>
      <c r="F20" s="285" t="s">
        <v>599</v>
      </c>
      <c r="G20" s="285" t="s">
        <v>43</v>
      </c>
      <c r="H20" s="295" t="s">
        <v>321</v>
      </c>
      <c r="I20" s="287"/>
      <c r="J20" s="689">
        <v>5980</v>
      </c>
    </row>
    <row r="21" spans="1:19" s="279" customFormat="1" ht="21" customHeight="1">
      <c r="A21" s="285"/>
      <c r="B21" s="285"/>
      <c r="C21" s="285"/>
      <c r="D21" s="285">
        <v>2210</v>
      </c>
      <c r="E21" s="285">
        <v>1113</v>
      </c>
      <c r="F21" s="285" t="s">
        <v>600</v>
      </c>
      <c r="G21" s="285" t="s">
        <v>43</v>
      </c>
      <c r="H21" s="295" t="s">
        <v>175</v>
      </c>
      <c r="I21" s="287"/>
      <c r="J21" s="689">
        <v>8750</v>
      </c>
    </row>
    <row r="22" spans="1:19" s="305" customFormat="1" ht="21" customHeight="1">
      <c r="A22" s="300"/>
      <c r="B22" s="300"/>
      <c r="C22" s="300"/>
      <c r="D22" s="300"/>
      <c r="E22" s="300"/>
      <c r="F22" s="301" t="s">
        <v>6</v>
      </c>
      <c r="G22" s="300"/>
      <c r="H22" s="302"/>
      <c r="I22" s="303"/>
      <c r="J22" s="690">
        <f>SUM(J15:J21)</f>
        <v>22866</v>
      </c>
      <c r="K22" s="279"/>
      <c r="L22" s="279"/>
      <c r="M22" s="279"/>
      <c r="N22" s="279"/>
      <c r="O22" s="319"/>
      <c r="P22" s="279"/>
      <c r="Q22" s="279"/>
      <c r="R22" s="279"/>
      <c r="S22" s="279"/>
    </row>
    <row r="23" spans="1:19" s="279" customFormat="1" ht="21" customHeight="1">
      <c r="A23" s="285"/>
      <c r="B23" s="285" t="s">
        <v>524</v>
      </c>
      <c r="C23" s="285" t="s">
        <v>5</v>
      </c>
      <c r="D23" s="285">
        <v>2220</v>
      </c>
      <c r="E23" s="285">
        <v>1512</v>
      </c>
      <c r="F23" s="285" t="s">
        <v>469</v>
      </c>
      <c r="G23" s="285" t="s">
        <v>529</v>
      </c>
      <c r="H23" s="295" t="s">
        <v>601</v>
      </c>
      <c r="I23" s="287"/>
      <c r="J23" s="689">
        <v>810</v>
      </c>
    </row>
    <row r="24" spans="1:19" s="305" customFormat="1" ht="21" customHeight="1">
      <c r="A24" s="300"/>
      <c r="B24" s="300"/>
      <c r="C24" s="300"/>
      <c r="D24" s="300"/>
      <c r="E24" s="300"/>
      <c r="F24" s="301" t="s">
        <v>6</v>
      </c>
      <c r="G24" s="300"/>
      <c r="H24" s="302"/>
      <c r="I24" s="303"/>
      <c r="J24" s="690">
        <f>SUM(J23:J23)</f>
        <v>810</v>
      </c>
      <c r="K24" s="279"/>
      <c r="L24" s="279"/>
      <c r="M24" s="279"/>
      <c r="N24" s="279"/>
      <c r="O24" s="279"/>
      <c r="P24" s="279"/>
      <c r="Q24" s="279"/>
      <c r="R24" s="279"/>
      <c r="S24" s="279"/>
    </row>
    <row r="25" spans="1:19" s="279" customFormat="1" ht="21" customHeight="1">
      <c r="A25" s="285">
        <v>6</v>
      </c>
      <c r="B25" s="285" t="s">
        <v>187</v>
      </c>
      <c r="C25" s="285" t="s">
        <v>5</v>
      </c>
      <c r="D25" s="285">
        <v>2220</v>
      </c>
      <c r="E25" s="285">
        <v>1512</v>
      </c>
      <c r="F25" s="285" t="s">
        <v>534</v>
      </c>
      <c r="G25" s="285" t="s">
        <v>43</v>
      </c>
      <c r="H25" s="286">
        <v>1500</v>
      </c>
      <c r="I25" s="287"/>
      <c r="J25" s="689">
        <v>750</v>
      </c>
    </row>
    <row r="26" spans="1:19" s="305" customFormat="1" ht="21" customHeight="1">
      <c r="A26" s="300"/>
      <c r="B26" s="300"/>
      <c r="C26" s="300"/>
      <c r="D26" s="300"/>
      <c r="E26" s="300"/>
      <c r="F26" s="301" t="s">
        <v>6</v>
      </c>
      <c r="G26" s="300"/>
      <c r="H26" s="302"/>
      <c r="I26" s="303"/>
      <c r="J26" s="690">
        <f>SUM(J25:J25)</f>
        <v>750</v>
      </c>
      <c r="K26" s="279"/>
      <c r="L26" s="279"/>
      <c r="M26" s="279"/>
      <c r="N26" s="279"/>
      <c r="O26" s="279"/>
      <c r="P26" s="279"/>
      <c r="Q26" s="279"/>
      <c r="R26" s="279"/>
      <c r="S26" s="279"/>
    </row>
    <row r="27" spans="1:19" s="279" customFormat="1" ht="21" customHeight="1">
      <c r="A27" s="285"/>
      <c r="B27" s="285" t="s">
        <v>18</v>
      </c>
      <c r="C27" s="285" t="s">
        <v>304</v>
      </c>
      <c r="D27" s="285">
        <v>2210</v>
      </c>
      <c r="E27" s="285">
        <v>1513</v>
      </c>
      <c r="F27" s="355" t="s">
        <v>627</v>
      </c>
      <c r="G27" s="285" t="s">
        <v>43</v>
      </c>
      <c r="H27" s="295" t="s">
        <v>49</v>
      </c>
      <c r="I27" s="287"/>
      <c r="J27" s="689">
        <v>17000</v>
      </c>
    </row>
    <row r="28" spans="1:19" s="305" customFormat="1" ht="21" customHeight="1">
      <c r="A28" s="300"/>
      <c r="B28" s="300"/>
      <c r="C28" s="300"/>
      <c r="D28" s="300"/>
      <c r="E28" s="300"/>
      <c r="F28" s="301"/>
      <c r="G28" s="300"/>
      <c r="H28" s="302"/>
      <c r="I28" s="303"/>
      <c r="J28" s="690">
        <f>SUM(J27)</f>
        <v>17000</v>
      </c>
      <c r="K28" s="279"/>
      <c r="L28" s="279"/>
      <c r="M28" s="279"/>
      <c r="N28" s="279"/>
      <c r="O28" s="279"/>
      <c r="P28" s="279"/>
      <c r="Q28" s="279"/>
      <c r="R28" s="279"/>
      <c r="S28" s="279"/>
    </row>
    <row r="29" spans="1:19" s="312" customFormat="1" ht="21" customHeight="1">
      <c r="A29" s="713" t="s">
        <v>602</v>
      </c>
      <c r="B29" s="713"/>
      <c r="C29" s="713"/>
      <c r="D29" s="713"/>
      <c r="E29" s="713"/>
      <c r="F29" s="713"/>
      <c r="G29" s="713"/>
      <c r="H29" s="713"/>
      <c r="I29" s="713"/>
      <c r="J29" s="691">
        <f>J26+J24+J22+J14+J8+J6+J28</f>
        <v>51315.040000000001</v>
      </c>
      <c r="K29" s="311"/>
    </row>
    <row r="30" spans="1:19" s="328" customFormat="1" ht="21" customHeight="1">
      <c r="A30" s="324">
        <v>1</v>
      </c>
      <c r="B30" s="324" t="s">
        <v>603</v>
      </c>
      <c r="C30" s="324" t="s">
        <v>5</v>
      </c>
      <c r="D30" s="324">
        <v>3110</v>
      </c>
      <c r="E30" s="324">
        <v>1016</v>
      </c>
      <c r="F30" s="325" t="s">
        <v>604</v>
      </c>
      <c r="G30" s="324" t="s">
        <v>43</v>
      </c>
      <c r="H30" s="324">
        <v>1</v>
      </c>
      <c r="I30" s="326"/>
      <c r="J30" s="327">
        <v>17500</v>
      </c>
    </row>
    <row r="31" spans="1:19" s="328" customFormat="1" ht="21" customHeight="1">
      <c r="A31" s="324"/>
      <c r="B31" s="324"/>
      <c r="C31" s="324"/>
      <c r="D31" s="324">
        <v>2210</v>
      </c>
      <c r="E31" s="324" t="s">
        <v>15</v>
      </c>
      <c r="F31" s="325" t="s">
        <v>605</v>
      </c>
      <c r="G31" s="324" t="s">
        <v>13</v>
      </c>
      <c r="H31" s="324">
        <v>50</v>
      </c>
      <c r="I31" s="326"/>
      <c r="J31" s="327">
        <v>150</v>
      </c>
    </row>
    <row r="32" spans="1:19" s="335" customFormat="1" ht="21" customHeight="1">
      <c r="A32" s="329"/>
      <c r="B32" s="329"/>
      <c r="C32" s="329"/>
      <c r="D32" s="329"/>
      <c r="E32" s="329"/>
      <c r="F32" s="681"/>
      <c r="G32" s="329"/>
      <c r="H32" s="329"/>
      <c r="I32" s="682"/>
      <c r="J32" s="334">
        <f>SUM(J30:J31)</f>
        <v>17650</v>
      </c>
      <c r="K32" s="328"/>
      <c r="L32" s="328"/>
      <c r="M32" s="328"/>
      <c r="N32" s="328"/>
      <c r="O32" s="328"/>
      <c r="P32" s="328"/>
      <c r="Q32" s="328"/>
      <c r="R32" s="328"/>
      <c r="S32" s="328"/>
    </row>
    <row r="33" spans="1:19" s="328" customFormat="1" ht="21" customHeight="1">
      <c r="A33" s="324"/>
      <c r="B33" s="324" t="s">
        <v>606</v>
      </c>
      <c r="C33" s="324" t="s">
        <v>5</v>
      </c>
      <c r="D33" s="324">
        <v>2210</v>
      </c>
      <c r="E33" s="324" t="s">
        <v>19</v>
      </c>
      <c r="F33" s="325" t="s">
        <v>340</v>
      </c>
      <c r="G33" s="324" t="s">
        <v>43</v>
      </c>
      <c r="H33" s="324">
        <v>4</v>
      </c>
      <c r="I33" s="326"/>
      <c r="J33" s="327">
        <v>11000</v>
      </c>
    </row>
    <row r="34" spans="1:19" s="328" customFormat="1" ht="21" customHeight="1">
      <c r="A34" s="324"/>
      <c r="B34" s="324"/>
      <c r="C34" s="324"/>
      <c r="D34" s="324">
        <v>2210</v>
      </c>
      <c r="E34" s="324">
        <v>1113</v>
      </c>
      <c r="F34" s="325" t="s">
        <v>607</v>
      </c>
      <c r="G34" s="324" t="s">
        <v>43</v>
      </c>
      <c r="H34" s="324">
        <v>4</v>
      </c>
      <c r="I34" s="326"/>
      <c r="J34" s="327">
        <v>8992</v>
      </c>
    </row>
    <row r="35" spans="1:19" s="328" customFormat="1" ht="21" customHeight="1">
      <c r="A35" s="324"/>
      <c r="B35" s="324"/>
      <c r="C35" s="324"/>
      <c r="D35" s="324">
        <v>2210</v>
      </c>
      <c r="E35" s="324">
        <v>1113</v>
      </c>
      <c r="F35" s="325" t="s">
        <v>422</v>
      </c>
      <c r="G35" s="324" t="s">
        <v>43</v>
      </c>
      <c r="H35" s="324">
        <v>1</v>
      </c>
      <c r="I35" s="326"/>
      <c r="J35" s="327">
        <v>5000</v>
      </c>
    </row>
    <row r="36" spans="1:19" s="328" customFormat="1" ht="21" customHeight="1">
      <c r="A36" s="324"/>
      <c r="B36" s="324"/>
      <c r="C36" s="324"/>
      <c r="D36" s="324">
        <v>2210</v>
      </c>
      <c r="E36" s="324">
        <v>1513</v>
      </c>
      <c r="F36" s="325" t="s">
        <v>608</v>
      </c>
      <c r="G36" s="324" t="s">
        <v>43</v>
      </c>
      <c r="H36" s="324">
        <v>4</v>
      </c>
      <c r="I36" s="326"/>
      <c r="J36" s="327">
        <v>24978</v>
      </c>
    </row>
    <row r="37" spans="1:19" s="328" customFormat="1" ht="21" customHeight="1">
      <c r="A37" s="324"/>
      <c r="B37" s="324"/>
      <c r="C37" s="324"/>
      <c r="D37" s="324">
        <v>2210</v>
      </c>
      <c r="E37" s="324">
        <v>1513</v>
      </c>
      <c r="F37" s="325" t="s">
        <v>609</v>
      </c>
      <c r="G37" s="324" t="s">
        <v>43</v>
      </c>
      <c r="H37" s="324">
        <v>1</v>
      </c>
      <c r="I37" s="326"/>
      <c r="J37" s="327">
        <v>7738</v>
      </c>
    </row>
    <row r="38" spans="1:19" s="328" customFormat="1" ht="21" customHeight="1">
      <c r="A38" s="324"/>
      <c r="B38" s="324"/>
      <c r="C38" s="324"/>
      <c r="D38" s="324">
        <v>2210</v>
      </c>
      <c r="E38" s="324" t="s">
        <v>19</v>
      </c>
      <c r="F38" s="325" t="s">
        <v>610</v>
      </c>
      <c r="G38" s="324" t="s">
        <v>43</v>
      </c>
      <c r="H38" s="324">
        <v>1</v>
      </c>
      <c r="I38" s="326"/>
      <c r="J38" s="327">
        <v>718</v>
      </c>
    </row>
    <row r="39" spans="1:19" s="328" customFormat="1" ht="21" customHeight="1">
      <c r="A39" s="324"/>
      <c r="B39" s="324"/>
      <c r="C39" s="324"/>
      <c r="D39" s="324">
        <v>2210</v>
      </c>
      <c r="E39" s="324" t="s">
        <v>19</v>
      </c>
      <c r="F39" s="325" t="s">
        <v>611</v>
      </c>
      <c r="G39" s="324" t="s">
        <v>43</v>
      </c>
      <c r="H39" s="324">
        <v>4</v>
      </c>
      <c r="I39" s="326"/>
      <c r="J39" s="327">
        <v>4800</v>
      </c>
    </row>
    <row r="40" spans="1:19" s="328" customFormat="1" ht="21" customHeight="1">
      <c r="A40" s="324"/>
      <c r="B40" s="324"/>
      <c r="C40" s="324"/>
      <c r="D40" s="324">
        <v>2210</v>
      </c>
      <c r="E40" s="324" t="s">
        <v>15</v>
      </c>
      <c r="F40" s="325" t="s">
        <v>612</v>
      </c>
      <c r="G40" s="324" t="s">
        <v>43</v>
      </c>
      <c r="H40" s="324">
        <f>29+10+2+4+5+5+6+2+5+8+8+8+8+16+8+8</f>
        <v>132</v>
      </c>
      <c r="I40" s="326"/>
      <c r="J40" s="327">
        <f>290+180+88+124+590+1630+204+460+700+1080+952+1040+1168+2160+992+952</f>
        <v>12610</v>
      </c>
    </row>
    <row r="41" spans="1:19" s="335" customFormat="1" ht="21" customHeight="1">
      <c r="A41" s="329"/>
      <c r="B41" s="329"/>
      <c r="C41" s="329"/>
      <c r="D41" s="329"/>
      <c r="E41" s="329"/>
      <c r="F41" s="681"/>
      <c r="G41" s="329"/>
      <c r="H41" s="329"/>
      <c r="I41" s="682"/>
      <c r="J41" s="334">
        <f>SUM(J33:J40)</f>
        <v>75836</v>
      </c>
      <c r="K41" s="328"/>
      <c r="L41" s="328"/>
      <c r="M41" s="328"/>
      <c r="N41" s="328"/>
      <c r="O41" s="328"/>
      <c r="P41" s="328"/>
      <c r="Q41" s="328"/>
      <c r="R41" s="328"/>
      <c r="S41" s="328"/>
    </row>
    <row r="42" spans="1:19" s="328" customFormat="1" ht="21" customHeight="1">
      <c r="A42" s="324"/>
      <c r="B42" s="324" t="s">
        <v>613</v>
      </c>
      <c r="C42" s="324" t="s">
        <v>5</v>
      </c>
      <c r="D42" s="324">
        <v>2210</v>
      </c>
      <c r="E42" s="324">
        <v>1513</v>
      </c>
      <c r="F42" s="325" t="s">
        <v>609</v>
      </c>
      <c r="G42" s="324" t="s">
        <v>43</v>
      </c>
      <c r="H42" s="324">
        <v>2</v>
      </c>
      <c r="I42" s="326"/>
      <c r="J42" s="327">
        <v>30000</v>
      </c>
    </row>
    <row r="43" spans="1:19" s="328" customFormat="1" ht="21" customHeight="1">
      <c r="A43" s="324"/>
      <c r="B43" s="324"/>
      <c r="C43" s="324"/>
      <c r="D43" s="324">
        <v>2210</v>
      </c>
      <c r="E43" s="324">
        <v>1113</v>
      </c>
      <c r="F43" s="325" t="s">
        <v>614</v>
      </c>
      <c r="G43" s="324" t="s">
        <v>43</v>
      </c>
      <c r="H43" s="324">
        <v>16</v>
      </c>
      <c r="I43" s="326"/>
      <c r="J43" s="327">
        <v>4800</v>
      </c>
    </row>
    <row r="44" spans="1:19" s="328" customFormat="1" ht="21" customHeight="1">
      <c r="A44" s="324"/>
      <c r="B44" s="324"/>
      <c r="C44" s="324"/>
      <c r="D44" s="324">
        <v>2210</v>
      </c>
      <c r="E44" s="324">
        <v>1113</v>
      </c>
      <c r="F44" s="325" t="s">
        <v>377</v>
      </c>
      <c r="G44" s="324" t="s">
        <v>43</v>
      </c>
      <c r="H44" s="324">
        <v>7</v>
      </c>
      <c r="I44" s="326"/>
      <c r="J44" s="327">
        <v>2100</v>
      </c>
    </row>
    <row r="45" spans="1:19" s="328" customFormat="1" ht="21" customHeight="1">
      <c r="A45" s="324"/>
      <c r="B45" s="324"/>
      <c r="C45" s="324"/>
      <c r="D45" s="324">
        <v>2210</v>
      </c>
      <c r="E45" s="324">
        <v>1113</v>
      </c>
      <c r="F45" s="325" t="s">
        <v>53</v>
      </c>
      <c r="G45" s="324" t="s">
        <v>43</v>
      </c>
      <c r="H45" s="324">
        <v>1</v>
      </c>
      <c r="I45" s="326"/>
      <c r="J45" s="327">
        <v>3600</v>
      </c>
    </row>
    <row r="46" spans="1:19" s="328" customFormat="1" ht="21" customHeight="1">
      <c r="A46" s="324"/>
      <c r="B46" s="324"/>
      <c r="C46" s="324"/>
      <c r="D46" s="324">
        <v>2210</v>
      </c>
      <c r="E46" s="324">
        <v>1113</v>
      </c>
      <c r="F46" s="325" t="s">
        <v>615</v>
      </c>
      <c r="G46" s="324" t="s">
        <v>43</v>
      </c>
      <c r="H46" s="324">
        <v>2</v>
      </c>
      <c r="I46" s="326"/>
      <c r="J46" s="327">
        <v>2887.5</v>
      </c>
    </row>
    <row r="47" spans="1:19" s="328" customFormat="1" ht="21" customHeight="1">
      <c r="A47" s="324"/>
      <c r="B47" s="324"/>
      <c r="C47" s="324"/>
      <c r="D47" s="324">
        <v>2210</v>
      </c>
      <c r="E47" s="324">
        <v>1113</v>
      </c>
      <c r="F47" s="325" t="s">
        <v>616</v>
      </c>
      <c r="G47" s="324" t="s">
        <v>43</v>
      </c>
      <c r="H47" s="324">
        <v>1</v>
      </c>
      <c r="I47" s="326"/>
      <c r="J47" s="327">
        <v>1000</v>
      </c>
    </row>
    <row r="48" spans="1:19" s="328" customFormat="1" ht="21" customHeight="1">
      <c r="A48" s="324"/>
      <c r="B48" s="324"/>
      <c r="C48" s="324"/>
      <c r="D48" s="324">
        <v>3110</v>
      </c>
      <c r="E48" s="324">
        <v>1014</v>
      </c>
      <c r="F48" s="325" t="s">
        <v>275</v>
      </c>
      <c r="G48" s="324" t="s">
        <v>43</v>
      </c>
      <c r="H48" s="324">
        <v>1</v>
      </c>
      <c r="I48" s="326"/>
      <c r="J48" s="327">
        <v>7600</v>
      </c>
    </row>
    <row r="49" spans="1:19" s="335" customFormat="1" ht="21" customHeight="1">
      <c r="A49" s="329"/>
      <c r="B49" s="329"/>
      <c r="C49" s="329"/>
      <c r="D49" s="329"/>
      <c r="E49" s="329"/>
      <c r="F49" s="681"/>
      <c r="G49" s="329"/>
      <c r="H49" s="329"/>
      <c r="I49" s="682"/>
      <c r="J49" s="334">
        <f>SUM(J42:J48)</f>
        <v>51987.5</v>
      </c>
      <c r="K49" s="328"/>
      <c r="L49" s="328"/>
      <c r="M49" s="328"/>
      <c r="N49" s="328"/>
      <c r="O49" s="328"/>
      <c r="P49" s="328"/>
      <c r="Q49" s="328"/>
      <c r="R49" s="328"/>
      <c r="S49" s="328"/>
    </row>
    <row r="50" spans="1:19" s="328" customFormat="1" ht="21" customHeight="1">
      <c r="A50" s="324"/>
      <c r="B50" s="324" t="s">
        <v>617</v>
      </c>
      <c r="C50" s="324" t="s">
        <v>5</v>
      </c>
      <c r="D50" s="324">
        <v>2210</v>
      </c>
      <c r="E50" s="324" t="s">
        <v>15</v>
      </c>
      <c r="F50" s="325" t="s">
        <v>618</v>
      </c>
      <c r="G50" s="324" t="s">
        <v>43</v>
      </c>
      <c r="H50" s="324">
        <v>8</v>
      </c>
      <c r="I50" s="326"/>
      <c r="J50" s="327">
        <v>188</v>
      </c>
    </row>
    <row r="51" spans="1:19" s="335" customFormat="1" ht="21" customHeight="1">
      <c r="A51" s="329"/>
      <c r="B51" s="329"/>
      <c r="C51" s="329"/>
      <c r="D51" s="329"/>
      <c r="E51" s="329"/>
      <c r="F51" s="681"/>
      <c r="G51" s="329"/>
      <c r="H51" s="329"/>
      <c r="I51" s="682"/>
      <c r="J51" s="334">
        <f>SUM(J50)</f>
        <v>188</v>
      </c>
      <c r="K51" s="328"/>
      <c r="L51" s="328"/>
      <c r="M51" s="328"/>
      <c r="N51" s="328"/>
      <c r="O51" s="328"/>
      <c r="P51" s="328"/>
      <c r="Q51" s="328"/>
      <c r="R51" s="328"/>
      <c r="S51" s="328"/>
    </row>
    <row r="52" spans="1:19" s="328" customFormat="1" ht="21" customHeight="1">
      <c r="A52" s="324"/>
      <c r="B52" s="324" t="s">
        <v>360</v>
      </c>
      <c r="C52" s="324" t="s">
        <v>5</v>
      </c>
      <c r="D52" s="324">
        <v>2210</v>
      </c>
      <c r="E52" s="324" t="s">
        <v>15</v>
      </c>
      <c r="F52" s="325" t="s">
        <v>619</v>
      </c>
      <c r="G52" s="324" t="s">
        <v>142</v>
      </c>
      <c r="H52" s="324">
        <v>4</v>
      </c>
      <c r="I52" s="326"/>
      <c r="J52" s="327">
        <v>100</v>
      </c>
    </row>
    <row r="53" spans="1:19" s="328" customFormat="1" ht="21" customHeight="1">
      <c r="A53" s="324"/>
      <c r="B53" s="324"/>
      <c r="C53" s="324"/>
      <c r="D53" s="324">
        <v>2220</v>
      </c>
      <c r="E53" s="324">
        <v>1512</v>
      </c>
      <c r="F53" s="325" t="s">
        <v>32</v>
      </c>
      <c r="G53" s="324" t="s">
        <v>13</v>
      </c>
      <c r="H53" s="324">
        <v>1</v>
      </c>
      <c r="I53" s="326"/>
      <c r="J53" s="327">
        <v>300</v>
      </c>
    </row>
    <row r="54" spans="1:19" s="335" customFormat="1" ht="21" customHeight="1">
      <c r="A54" s="329"/>
      <c r="B54" s="329"/>
      <c r="C54" s="329"/>
      <c r="D54" s="329"/>
      <c r="E54" s="329"/>
      <c r="F54" s="681"/>
      <c r="G54" s="329"/>
      <c r="H54" s="329"/>
      <c r="I54" s="682"/>
      <c r="J54" s="334">
        <f>SUM(J52:J53)</f>
        <v>400</v>
      </c>
      <c r="K54" s="328"/>
      <c r="L54" s="328"/>
      <c r="M54" s="328"/>
      <c r="N54" s="328"/>
      <c r="O54" s="328"/>
      <c r="P54" s="328"/>
      <c r="Q54" s="328"/>
      <c r="R54" s="328"/>
      <c r="S54" s="328"/>
    </row>
    <row r="55" spans="1:19" s="312" customFormat="1" ht="21" customHeight="1">
      <c r="A55" s="713" t="s">
        <v>620</v>
      </c>
      <c r="B55" s="713"/>
      <c r="C55" s="713"/>
      <c r="D55" s="713"/>
      <c r="E55" s="713"/>
      <c r="F55" s="713"/>
      <c r="G55" s="713"/>
      <c r="H55" s="713"/>
      <c r="I55" s="713"/>
      <c r="J55" s="691">
        <f>J54+J51+J49+J41+J32</f>
        <v>146061.5</v>
      </c>
      <c r="K55" s="311"/>
    </row>
    <row r="56" spans="1:19" s="328" customFormat="1" ht="21" customHeight="1">
      <c r="A56" s="324"/>
      <c r="B56" s="324" t="s">
        <v>621</v>
      </c>
      <c r="C56" s="324" t="s">
        <v>5</v>
      </c>
      <c r="D56" s="324">
        <v>2210</v>
      </c>
      <c r="E56" s="324" t="s">
        <v>15</v>
      </c>
      <c r="F56" s="325" t="s">
        <v>622</v>
      </c>
      <c r="G56" s="324" t="s">
        <v>43</v>
      </c>
      <c r="H56" s="324">
        <v>3</v>
      </c>
      <c r="I56" s="326"/>
      <c r="J56" s="327">
        <v>36</v>
      </c>
    </row>
    <row r="57" spans="1:19" s="328" customFormat="1" ht="21" customHeight="1">
      <c r="A57" s="324"/>
      <c r="B57" s="324"/>
      <c r="C57" s="324"/>
      <c r="D57" s="324">
        <v>2210</v>
      </c>
      <c r="E57" s="324">
        <v>1518</v>
      </c>
      <c r="F57" s="325" t="s">
        <v>545</v>
      </c>
      <c r="G57" s="324" t="s">
        <v>13</v>
      </c>
      <c r="H57" s="324">
        <v>1</v>
      </c>
      <c r="I57" s="326"/>
      <c r="J57" s="327">
        <v>0.5</v>
      </c>
    </row>
    <row r="58" spans="1:19" s="335" customFormat="1" ht="21" customHeight="1">
      <c r="A58" s="329"/>
      <c r="B58" s="329"/>
      <c r="C58" s="329"/>
      <c r="D58" s="329"/>
      <c r="E58" s="329"/>
      <c r="F58" s="681"/>
      <c r="G58" s="329"/>
      <c r="H58" s="329"/>
      <c r="I58" s="682"/>
      <c r="J58" s="334">
        <f>SUM(J56:J57)</f>
        <v>36.5</v>
      </c>
      <c r="K58" s="328"/>
      <c r="L58" s="328"/>
      <c r="M58" s="328"/>
      <c r="N58" s="328"/>
      <c r="O58" s="328"/>
      <c r="P58" s="328"/>
      <c r="Q58" s="328"/>
      <c r="R58" s="328"/>
      <c r="S58" s="328"/>
    </row>
    <row r="59" spans="1:19" s="312" customFormat="1" ht="21" customHeight="1">
      <c r="A59" s="713" t="s">
        <v>623</v>
      </c>
      <c r="B59" s="713"/>
      <c r="C59" s="713"/>
      <c r="D59" s="713"/>
      <c r="E59" s="713"/>
      <c r="F59" s="713"/>
      <c r="G59" s="713"/>
      <c r="H59" s="713"/>
      <c r="I59" s="713"/>
      <c r="J59" s="691">
        <f>J58</f>
        <v>36.5</v>
      </c>
      <c r="K59" s="311"/>
    </row>
    <row r="60" spans="1:19" s="686" customFormat="1" ht="21" customHeight="1">
      <c r="A60" s="683"/>
      <c r="B60" s="683"/>
      <c r="C60" s="683"/>
      <c r="D60" s="683"/>
      <c r="E60" s="683"/>
      <c r="F60" s="687" t="s">
        <v>624</v>
      </c>
      <c r="G60" s="683"/>
      <c r="H60" s="683"/>
      <c r="I60" s="684"/>
      <c r="J60" s="685">
        <f>J58+J55+J29</f>
        <v>197413.04</v>
      </c>
      <c r="K60" s="328"/>
      <c r="L60" s="328"/>
      <c r="M60" s="328"/>
      <c r="N60" s="328"/>
      <c r="O60" s="328"/>
      <c r="P60" s="328"/>
      <c r="Q60" s="328"/>
      <c r="R60" s="328"/>
      <c r="S60" s="328"/>
    </row>
    <row r="61" spans="1:19" s="328" customFormat="1" ht="21" customHeight="1">
      <c r="A61" s="324"/>
      <c r="B61" s="324"/>
      <c r="C61" s="324"/>
      <c r="D61" s="324"/>
      <c r="E61" s="324"/>
      <c r="F61" s="325"/>
      <c r="G61" s="324"/>
      <c r="H61" s="324"/>
      <c r="I61" s="326"/>
      <c r="J61" s="327"/>
    </row>
    <row r="62" spans="1:19" s="328" customFormat="1" ht="21" customHeight="1">
      <c r="A62" s="324"/>
      <c r="B62" s="324"/>
      <c r="C62" s="324"/>
      <c r="D62" s="324"/>
      <c r="E62" s="324"/>
      <c r="F62" s="325"/>
      <c r="G62" s="324"/>
      <c r="H62" s="324"/>
      <c r="I62" s="326"/>
      <c r="J62" s="327"/>
    </row>
    <row r="63" spans="1:19" s="328" customFormat="1" ht="21" customHeight="1">
      <c r="A63" s="324"/>
      <c r="B63" s="324"/>
      <c r="C63" s="324"/>
      <c r="D63" s="324"/>
      <c r="E63" s="324"/>
      <c r="F63" s="325"/>
      <c r="G63" s="324"/>
      <c r="H63" s="324"/>
      <c r="I63" s="326"/>
      <c r="J63" s="327"/>
    </row>
    <row r="64" spans="1:19" s="328" customFormat="1" ht="21" customHeight="1">
      <c r="A64" s="324"/>
      <c r="B64" s="324"/>
      <c r="C64" s="324"/>
      <c r="D64" s="324"/>
      <c r="E64" s="324"/>
      <c r="F64" s="325"/>
      <c r="G64" s="324"/>
      <c r="H64" s="324"/>
      <c r="I64" s="326"/>
      <c r="J64" s="327"/>
    </row>
    <row r="65" spans="1:10" s="328" customFormat="1" ht="21" customHeight="1">
      <c r="A65" s="324"/>
      <c r="B65" s="324" t="s">
        <v>626</v>
      </c>
      <c r="C65" s="324"/>
      <c r="D65" s="324"/>
      <c r="E65" s="324"/>
      <c r="F65" s="325"/>
      <c r="G65" s="324"/>
      <c r="H65" s="324"/>
      <c r="I65" s="326"/>
      <c r="J65" s="327"/>
    </row>
    <row r="66" spans="1:10" s="328" customFormat="1" ht="21" customHeight="1">
      <c r="A66" s="324"/>
      <c r="B66" s="324"/>
      <c r="C66" s="324"/>
      <c r="D66" s="324"/>
      <c r="E66" s="324"/>
      <c r="F66" s="325"/>
      <c r="G66" s="324"/>
      <c r="H66" s="324"/>
      <c r="I66" s="326"/>
      <c r="J66" s="327"/>
    </row>
    <row r="67" spans="1:10" s="328" customFormat="1" ht="21" customHeight="1">
      <c r="A67" s="324"/>
      <c r="B67" s="324"/>
      <c r="C67" s="324"/>
      <c r="D67" s="324"/>
      <c r="E67" s="324"/>
      <c r="F67" s="325"/>
      <c r="G67" s="324"/>
      <c r="H67" s="324"/>
      <c r="I67" s="326"/>
      <c r="J67" s="327"/>
    </row>
    <row r="68" spans="1:10" s="328" customFormat="1" ht="21" customHeight="1">
      <c r="A68" s="324"/>
      <c r="B68" s="324"/>
      <c r="C68" s="324"/>
      <c r="D68" s="324"/>
      <c r="E68" s="324"/>
      <c r="F68" s="325"/>
      <c r="G68" s="324"/>
      <c r="H68" s="324"/>
      <c r="I68" s="326"/>
      <c r="J68" s="327"/>
    </row>
    <row r="69" spans="1:10" s="328" customFormat="1" ht="21" customHeight="1">
      <c r="A69" s="324"/>
      <c r="B69" s="324"/>
      <c r="C69" s="324"/>
      <c r="D69" s="324"/>
      <c r="E69" s="324"/>
      <c r="F69" s="325"/>
      <c r="G69" s="324"/>
      <c r="H69" s="324"/>
      <c r="I69" s="326"/>
      <c r="J69" s="327"/>
    </row>
    <row r="70" spans="1:10" s="328" customFormat="1" ht="21" customHeight="1">
      <c r="A70" s="324"/>
      <c r="B70" s="324"/>
      <c r="C70" s="324"/>
      <c r="D70" s="324"/>
      <c r="E70" s="324"/>
      <c r="F70" s="325"/>
      <c r="G70" s="324"/>
      <c r="H70" s="324"/>
      <c r="I70" s="326"/>
      <c r="J70" s="327"/>
    </row>
    <row r="71" spans="1:10" s="328" customFormat="1" ht="21" customHeight="1">
      <c r="A71" s="324"/>
      <c r="B71" s="324"/>
      <c r="C71" s="324"/>
      <c r="D71" s="324"/>
      <c r="E71" s="324"/>
      <c r="F71" s="325"/>
      <c r="G71" s="324"/>
      <c r="H71" s="324"/>
      <c r="I71" s="326"/>
      <c r="J71" s="327"/>
    </row>
    <row r="72" spans="1:10" s="328" customFormat="1" ht="21" customHeight="1">
      <c r="A72" s="324"/>
      <c r="B72" s="324"/>
      <c r="C72" s="324"/>
      <c r="D72" s="324"/>
      <c r="E72" s="324"/>
      <c r="F72" s="325"/>
      <c r="G72" s="324"/>
      <c r="H72" s="324"/>
      <c r="I72" s="326"/>
      <c r="J72" s="327"/>
    </row>
    <row r="73" spans="1:10" s="328" customFormat="1" ht="21" customHeight="1">
      <c r="A73" s="324"/>
      <c r="B73" s="324"/>
      <c r="C73" s="324"/>
      <c r="D73" s="324"/>
      <c r="E73" s="324"/>
      <c r="F73" s="325"/>
      <c r="G73" s="324"/>
      <c r="H73" s="324"/>
      <c r="I73" s="326"/>
      <c r="J73" s="327"/>
    </row>
    <row r="74" spans="1:10" s="328" customFormat="1" ht="21" customHeight="1">
      <c r="A74" s="324"/>
      <c r="B74" s="324"/>
      <c r="C74" s="324"/>
      <c r="D74" s="324"/>
      <c r="E74" s="324"/>
      <c r="F74" s="325"/>
      <c r="G74" s="324"/>
      <c r="H74" s="324"/>
      <c r="I74" s="326"/>
      <c r="J74" s="327"/>
    </row>
    <row r="75" spans="1:10" s="328" customFormat="1" ht="21" customHeight="1">
      <c r="A75" s="324"/>
      <c r="B75" s="324"/>
      <c r="C75" s="324"/>
      <c r="D75" s="324"/>
      <c r="E75" s="324"/>
      <c r="F75" s="325"/>
      <c r="G75" s="324"/>
      <c r="H75" s="324"/>
      <c r="I75" s="326"/>
      <c r="J75" s="327"/>
    </row>
    <row r="76" spans="1:10" s="328" customFormat="1" ht="21" customHeight="1">
      <c r="A76" s="324"/>
      <c r="B76" s="324"/>
      <c r="C76" s="324"/>
      <c r="D76" s="324"/>
      <c r="E76" s="324"/>
      <c r="F76" s="325"/>
      <c r="G76" s="324"/>
      <c r="H76" s="324"/>
      <c r="I76" s="326"/>
      <c r="J76" s="327"/>
    </row>
    <row r="77" spans="1:10" s="328" customFormat="1" ht="21" customHeight="1">
      <c r="A77" s="324"/>
      <c r="B77" s="324"/>
      <c r="C77" s="324"/>
      <c r="D77" s="324"/>
      <c r="E77" s="324"/>
      <c r="F77" s="325"/>
      <c r="G77" s="324"/>
      <c r="H77" s="324"/>
      <c r="I77" s="326"/>
      <c r="J77" s="327"/>
    </row>
    <row r="78" spans="1:10" s="328" customFormat="1" ht="21" customHeight="1">
      <c r="A78" s="324"/>
      <c r="B78" s="324"/>
      <c r="C78" s="324"/>
      <c r="D78" s="324"/>
      <c r="E78" s="324"/>
      <c r="F78" s="325"/>
      <c r="G78" s="324"/>
      <c r="H78" s="324"/>
      <c r="I78" s="326"/>
      <c r="J78" s="327"/>
    </row>
    <row r="79" spans="1:10" s="328" customFormat="1" ht="21" customHeight="1">
      <c r="A79" s="324"/>
      <c r="B79" s="324"/>
      <c r="C79" s="324"/>
      <c r="D79" s="324"/>
      <c r="E79" s="324"/>
      <c r="F79" s="325"/>
      <c r="G79" s="324"/>
      <c r="H79" s="324"/>
      <c r="I79" s="326"/>
      <c r="J79" s="327"/>
    </row>
    <row r="80" spans="1:10" s="328" customFormat="1" ht="21" customHeight="1">
      <c r="A80" s="324"/>
      <c r="B80" s="324"/>
      <c r="C80" s="324"/>
      <c r="D80" s="324"/>
      <c r="E80" s="324"/>
      <c r="F80" s="325"/>
      <c r="G80" s="324"/>
      <c r="H80" s="324"/>
      <c r="I80" s="326"/>
      <c r="J80" s="327"/>
    </row>
    <row r="81" spans="1:19" s="328" customFormat="1" ht="21" customHeight="1">
      <c r="A81" s="324"/>
      <c r="B81" s="324"/>
      <c r="C81" s="324"/>
      <c r="D81" s="324"/>
      <c r="E81" s="324"/>
      <c r="F81" s="325"/>
      <c r="G81" s="324"/>
      <c r="H81" s="324"/>
      <c r="I81" s="326"/>
      <c r="J81" s="327"/>
    </row>
    <row r="82" spans="1:19" s="328" customFormat="1" ht="21" customHeight="1">
      <c r="A82" s="324"/>
      <c r="B82" s="324"/>
      <c r="C82" s="324"/>
      <c r="D82" s="324"/>
      <c r="E82" s="324"/>
      <c r="F82" s="325"/>
      <c r="G82" s="324"/>
      <c r="H82" s="324"/>
      <c r="I82" s="326"/>
      <c r="J82" s="327"/>
    </row>
    <row r="83" spans="1:19" s="328" customFormat="1" ht="21" customHeight="1">
      <c r="A83" s="324"/>
      <c r="B83" s="324"/>
      <c r="C83" s="324"/>
      <c r="D83" s="324"/>
      <c r="E83" s="324"/>
      <c r="F83" s="325"/>
      <c r="G83" s="324"/>
      <c r="H83" s="324"/>
      <c r="I83" s="326"/>
      <c r="J83" s="327"/>
    </row>
    <row r="84" spans="1:19" s="328" customFormat="1" ht="21" customHeight="1">
      <c r="A84" s="324"/>
      <c r="B84" s="324"/>
      <c r="C84" s="324"/>
      <c r="D84" s="324"/>
      <c r="E84" s="324"/>
      <c r="F84" s="325"/>
      <c r="G84" s="324"/>
      <c r="H84" s="324"/>
      <c r="I84" s="326"/>
      <c r="J84" s="327"/>
    </row>
    <row r="85" spans="1:19" s="328" customFormat="1" ht="21" customHeight="1">
      <c r="A85" s="324"/>
      <c r="B85" s="324"/>
      <c r="C85" s="324"/>
      <c r="D85" s="324"/>
      <c r="E85" s="324"/>
      <c r="F85" s="325"/>
      <c r="G85" s="324"/>
      <c r="H85" s="324"/>
      <c r="I85" s="326"/>
      <c r="J85" s="327"/>
    </row>
    <row r="86" spans="1:19" s="328" customFormat="1" ht="21" customHeight="1">
      <c r="A86" s="324"/>
      <c r="B86" s="324"/>
      <c r="C86" s="324"/>
      <c r="D86" s="324"/>
      <c r="E86" s="324"/>
      <c r="F86" s="325"/>
      <c r="G86" s="324"/>
      <c r="H86" s="324"/>
      <c r="I86" s="326"/>
      <c r="J86" s="327"/>
    </row>
    <row r="87" spans="1:19" s="328" customFormat="1" ht="21" customHeight="1">
      <c r="A87" s="324"/>
      <c r="B87" s="324"/>
      <c r="C87" s="324"/>
      <c r="D87" s="324"/>
      <c r="E87" s="324"/>
      <c r="F87" s="325"/>
      <c r="G87" s="324"/>
      <c r="H87" s="324"/>
      <c r="I87" s="326"/>
      <c r="J87" s="327"/>
    </row>
    <row r="88" spans="1:19" s="328" customFormat="1" ht="21" customHeight="1">
      <c r="A88" s="324"/>
      <c r="B88" s="324"/>
      <c r="C88" s="324"/>
      <c r="D88" s="324"/>
      <c r="E88" s="324"/>
      <c r="F88" s="325"/>
      <c r="G88" s="324"/>
      <c r="H88" s="324"/>
      <c r="I88" s="326"/>
      <c r="J88" s="327"/>
    </row>
    <row r="89" spans="1:19" s="328" customFormat="1" ht="21" customHeight="1">
      <c r="A89" s="324"/>
      <c r="B89" s="324"/>
      <c r="C89" s="324"/>
      <c r="D89" s="324"/>
      <c r="E89" s="324"/>
      <c r="F89" s="325"/>
      <c r="G89" s="324"/>
      <c r="H89" s="324"/>
      <c r="I89" s="326"/>
      <c r="J89" s="327"/>
    </row>
    <row r="90" spans="1:19" s="328" customFormat="1" ht="21" customHeight="1">
      <c r="A90" s="324"/>
      <c r="B90" s="324"/>
      <c r="C90" s="324"/>
      <c r="D90" s="324"/>
      <c r="E90" s="324"/>
      <c r="F90" s="325"/>
      <c r="G90" s="324"/>
      <c r="H90" s="324"/>
      <c r="I90" s="326"/>
      <c r="J90" s="327"/>
    </row>
    <row r="91" spans="1:19" s="328" customFormat="1" ht="21" customHeight="1">
      <c r="A91" s="324"/>
      <c r="B91" s="324"/>
      <c r="C91" s="324"/>
      <c r="D91" s="324"/>
      <c r="E91" s="324"/>
      <c r="F91" s="325"/>
      <c r="G91" s="324"/>
      <c r="H91" s="324"/>
      <c r="I91" s="326"/>
      <c r="J91" s="327"/>
    </row>
    <row r="92" spans="1:19" s="328" customFormat="1" ht="21" customHeight="1">
      <c r="A92" s="324"/>
      <c r="B92" s="324"/>
      <c r="C92" s="324"/>
      <c r="D92" s="324"/>
      <c r="E92" s="324"/>
      <c r="F92" s="325"/>
      <c r="G92" s="324"/>
      <c r="H92" s="324"/>
      <c r="I92" s="326"/>
      <c r="J92" s="327"/>
    </row>
    <row r="93" spans="1:19" s="335" customFormat="1" ht="21" customHeight="1">
      <c r="A93" s="329"/>
      <c r="B93" s="330"/>
      <c r="C93" s="330"/>
      <c r="D93" s="330"/>
      <c r="E93" s="330"/>
      <c r="F93" s="331"/>
      <c r="G93" s="332"/>
      <c r="H93" s="330"/>
      <c r="I93" s="333"/>
      <c r="J93" s="334"/>
      <c r="K93" s="328"/>
      <c r="L93" s="328"/>
      <c r="M93" s="328"/>
      <c r="N93" s="328"/>
      <c r="O93" s="328"/>
      <c r="P93" s="328"/>
      <c r="Q93" s="328"/>
      <c r="R93" s="328"/>
      <c r="S93" s="328"/>
    </row>
    <row r="94" spans="1:19" s="340" customFormat="1" ht="21.75" customHeight="1" thickBot="1">
      <c r="A94" s="322"/>
      <c r="B94" s="714"/>
      <c r="C94" s="715"/>
      <c r="D94" s="715"/>
      <c r="E94" s="715"/>
      <c r="F94" s="716"/>
      <c r="G94" s="336"/>
      <c r="H94" s="337"/>
      <c r="I94" s="338"/>
      <c r="J94" s="339"/>
      <c r="K94" s="328"/>
      <c r="L94" s="328"/>
      <c r="M94" s="328"/>
      <c r="N94" s="328"/>
      <c r="O94" s="328"/>
      <c r="P94" s="328"/>
      <c r="Q94" s="328"/>
      <c r="R94" s="328"/>
      <c r="S94" s="328"/>
    </row>
    <row r="95" spans="1:19" s="328" customFormat="1" ht="21.75" customHeight="1">
      <c r="A95" s="341"/>
      <c r="B95" s="342"/>
      <c r="C95" s="342"/>
      <c r="D95" s="342"/>
      <c r="E95" s="342"/>
      <c r="F95" s="342"/>
      <c r="G95" s="343"/>
      <c r="H95" s="342"/>
      <c r="I95" s="343"/>
      <c r="J95" s="344"/>
    </row>
    <row r="96" spans="1:19" s="328" customFormat="1" ht="21.75" customHeight="1">
      <c r="A96" s="341"/>
      <c r="B96" s="711" t="s">
        <v>191</v>
      </c>
      <c r="C96" s="711"/>
      <c r="D96" s="711"/>
      <c r="E96" s="711"/>
      <c r="F96" s="342"/>
      <c r="G96" s="343"/>
      <c r="H96" s="342"/>
      <c r="I96" s="343"/>
      <c r="J96" s="344"/>
    </row>
    <row r="97" spans="1:19" s="340" customFormat="1">
      <c r="A97" s="278"/>
      <c r="B97" s="711"/>
      <c r="C97" s="711"/>
      <c r="D97" s="711"/>
      <c r="E97" s="345"/>
      <c r="F97" s="346"/>
      <c r="G97" s="345"/>
      <c r="H97" s="347"/>
      <c r="I97" s="345"/>
      <c r="J97" s="348"/>
      <c r="K97" s="328"/>
      <c r="L97" s="328"/>
      <c r="M97" s="328"/>
      <c r="N97" s="328"/>
      <c r="O97" s="328"/>
      <c r="P97" s="328"/>
      <c r="Q97" s="328"/>
      <c r="R97" s="328"/>
      <c r="S97" s="328"/>
    </row>
    <row r="98" spans="1:19" s="340" customFormat="1">
      <c r="A98" s="278"/>
      <c r="B98" s="711"/>
      <c r="C98" s="711"/>
      <c r="D98" s="711"/>
      <c r="E98" s="711"/>
      <c r="F98" s="349"/>
      <c r="G98" s="345"/>
      <c r="H98" s="347"/>
      <c r="I98" s="345"/>
      <c r="J98" s="348"/>
      <c r="K98" s="328"/>
      <c r="L98" s="328"/>
      <c r="M98" s="328"/>
      <c r="N98" s="328"/>
      <c r="O98" s="328"/>
      <c r="P98" s="328"/>
      <c r="Q98" s="328"/>
      <c r="R98" s="328"/>
      <c r="S98" s="328"/>
    </row>
    <row r="99" spans="1:19">
      <c r="A99" s="345"/>
      <c r="B99" s="347"/>
      <c r="C99" s="347"/>
      <c r="D99" s="347"/>
      <c r="E99" s="347"/>
      <c r="F99" s="347"/>
      <c r="G99" s="347"/>
      <c r="H99" s="347"/>
      <c r="I99" s="350"/>
      <c r="J99" s="347"/>
    </row>
    <row r="100" spans="1:19">
      <c r="A100" s="345"/>
      <c r="B100" s="347"/>
      <c r="C100" s="347"/>
      <c r="D100" s="347"/>
      <c r="E100" s="347"/>
      <c r="F100" s="347"/>
      <c r="G100" s="347"/>
      <c r="H100" s="347"/>
      <c r="I100" s="350"/>
      <c r="J100" s="347"/>
    </row>
    <row r="101" spans="1:19">
      <c r="A101" s="345"/>
      <c r="B101" s="347"/>
      <c r="C101" s="347"/>
      <c r="D101" s="347"/>
      <c r="E101" s="347"/>
      <c r="F101" s="347"/>
      <c r="G101" s="347"/>
      <c r="H101" s="347"/>
      <c r="I101" s="350"/>
      <c r="J101" s="347"/>
    </row>
    <row r="102" spans="1:19">
      <c r="A102" s="345"/>
      <c r="B102" s="345"/>
      <c r="C102" s="345"/>
      <c r="D102" s="345"/>
      <c r="E102" s="345"/>
      <c r="F102" s="347"/>
      <c r="G102" s="345"/>
      <c r="H102" s="347"/>
      <c r="I102" s="351"/>
      <c r="J102" s="345"/>
    </row>
    <row r="103" spans="1:19">
      <c r="A103" s="345"/>
      <c r="B103" s="345"/>
      <c r="C103" s="345"/>
      <c r="D103" s="345"/>
      <c r="E103" s="345"/>
      <c r="F103" s="347"/>
      <c r="G103" s="345"/>
      <c r="H103" s="347"/>
      <c r="I103" s="351"/>
      <c r="J103" s="345"/>
    </row>
    <row r="104" spans="1:19">
      <c r="A104" s="345"/>
      <c r="B104" s="345"/>
      <c r="C104" s="345"/>
      <c r="D104" s="345"/>
      <c r="E104" s="345"/>
      <c r="F104" s="347"/>
      <c r="G104" s="345"/>
      <c r="H104" s="347"/>
      <c r="I104" s="351"/>
      <c r="J104" s="345"/>
    </row>
  </sheetData>
  <mergeCells count="8">
    <mergeCell ref="B97:D97"/>
    <mergeCell ref="B98:E98"/>
    <mergeCell ref="A1:J1"/>
    <mergeCell ref="A29:I29"/>
    <mergeCell ref="B94:F94"/>
    <mergeCell ref="B96:E96"/>
    <mergeCell ref="A55:I55"/>
    <mergeCell ref="A59:I59"/>
  </mergeCells>
  <phoneticPr fontId="21" type="noConversion"/>
  <pageMargins left="0.75" right="0.75" top="1" bottom="1" header="0.5" footer="0.5"/>
  <pageSetup paperSize="9" scale="32" orientation="portrait" verticalDpi="0" r:id="rId1"/>
  <headerFooter alignWithMargins="0"/>
  <rowBreaks count="2" manualBreakCount="2">
    <brk id="66" max="16383" man="1"/>
    <brk id="9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2</vt:i4>
      </vt:variant>
    </vt:vector>
  </HeadingPairs>
  <TitlesOfParts>
    <vt:vector size="15" baseType="lpstr">
      <vt:lpstr>Лист1</vt:lpstr>
      <vt:lpstr>для скляр</vt:lpstr>
      <vt:lpstr>лютий</vt:lpstr>
      <vt:lpstr>Березень</vt:lpstr>
      <vt:lpstr>Квітень</vt:lpstr>
      <vt:lpstr>травень2020</vt:lpstr>
      <vt:lpstr>червень2020</vt:lpstr>
      <vt:lpstr>липень2020</vt:lpstr>
      <vt:lpstr>серпень2020</vt:lpstr>
      <vt:lpstr>вересень2020</vt:lpstr>
      <vt:lpstr>жовтень2019</vt:lpstr>
      <vt:lpstr>листопад2019</vt:lpstr>
      <vt:lpstr>грудень2019</vt:lpstr>
      <vt:lpstr>Квітень!Область_печати</vt:lpstr>
      <vt:lpstr>лютий!Область_печати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2020-09-21T10:31:52Z</cp:lastPrinted>
  <dcterms:created xsi:type="dcterms:W3CDTF">2006-09-28T05:33:49Z</dcterms:created>
  <dcterms:modified xsi:type="dcterms:W3CDTF">2020-10-23T11:42:51Z</dcterms:modified>
</cp:coreProperties>
</file>